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65" windowWidth="14805" windowHeight="7050" activeTab="1"/>
  </bookViews>
  <sheets>
    <sheet name="2013" sheetId="1" r:id="rId1"/>
    <sheet name="2014" sheetId="3" r:id="rId2"/>
    <sheet name="Лист1" sheetId="2" r:id="rId3"/>
  </sheets>
  <definedNames>
    <definedName name="_xlnm._FilterDatabase" localSheetId="0" hidden="1">'2013'!$B$2:$AE$207</definedName>
    <definedName name="_xlnm._FilterDatabase" localSheetId="1" hidden="1">'2014'!$B$2:$AK$207</definedName>
    <definedName name="_xlnm.Print_Area" localSheetId="0">'2013'!$B$2:$Q$208</definedName>
    <definedName name="_xlnm.Print_Area" localSheetId="1">'2014'!$A$1:$W$208</definedName>
  </definedNames>
  <calcPr calcId="145621"/>
</workbook>
</file>

<file path=xl/calcChain.xml><?xml version="1.0" encoding="utf-8"?>
<calcChain xmlns="http://schemas.openxmlformats.org/spreadsheetml/2006/main">
  <c r="K209" i="3" l="1"/>
  <c r="K157" i="3" l="1"/>
  <c r="K110" i="3"/>
  <c r="H206" i="3" l="1"/>
  <c r="H93" i="3"/>
  <c r="H51" i="3"/>
  <c r="H166" i="3"/>
  <c r="K8" i="3" l="1"/>
  <c r="K57" i="3" l="1"/>
  <c r="K15" i="3"/>
  <c r="K11" i="3" l="1"/>
  <c r="K49" i="3"/>
  <c r="K27" i="3"/>
  <c r="K111" i="3" l="1"/>
  <c r="K208" i="3" l="1"/>
  <c r="H94" i="3" l="1"/>
  <c r="I6" i="3" l="1"/>
  <c r="I206" i="3"/>
  <c r="I31" i="3"/>
  <c r="I46" i="3"/>
  <c r="I48" i="3"/>
  <c r="I51" i="3"/>
  <c r="I52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2" i="3"/>
  <c r="I83" i="3"/>
  <c r="I84" i="3"/>
  <c r="I85" i="3"/>
  <c r="I89" i="3"/>
  <c r="I93" i="3"/>
  <c r="I94" i="3"/>
  <c r="I96" i="3"/>
  <c r="I97" i="3"/>
  <c r="I98" i="3"/>
  <c r="I99" i="3"/>
  <c r="I100" i="3"/>
  <c r="I135" i="3"/>
  <c r="I136" i="3"/>
  <c r="I138" i="3"/>
  <c r="I139" i="3"/>
  <c r="I140" i="3"/>
  <c r="I143" i="3"/>
  <c r="I144" i="3"/>
  <c r="I145" i="3"/>
  <c r="I146" i="3"/>
  <c r="I148" i="3"/>
  <c r="I149" i="3"/>
  <c r="I166" i="3"/>
  <c r="I172" i="3"/>
  <c r="I173" i="3"/>
  <c r="I174" i="3"/>
  <c r="I175" i="3"/>
  <c r="I176" i="3"/>
  <c r="I180" i="3"/>
  <c r="I189" i="3"/>
  <c r="I191" i="3"/>
  <c r="I204" i="3"/>
  <c r="I4" i="3"/>
  <c r="L208" i="3"/>
  <c r="M208" i="3"/>
  <c r="O208" i="3"/>
  <c r="P208" i="3"/>
  <c r="N208" i="3"/>
  <c r="Q208" i="3"/>
  <c r="S208" i="3"/>
  <c r="R208" i="3"/>
  <c r="AJ122" i="3"/>
  <c r="H122" i="3"/>
  <c r="I122" i="3" s="1"/>
  <c r="AJ119" i="3"/>
  <c r="H119" i="3"/>
  <c r="I119" i="3" s="1"/>
  <c r="AJ192" i="3"/>
  <c r="H192" i="3"/>
  <c r="I192" i="3" s="1"/>
  <c r="AJ204" i="3"/>
  <c r="AJ171" i="3"/>
  <c r="H171" i="3"/>
  <c r="I171" i="3" s="1"/>
  <c r="AJ164" i="3"/>
  <c r="H164" i="3"/>
  <c r="I164" i="3" s="1"/>
  <c r="AJ154" i="3"/>
  <c r="H154" i="3"/>
  <c r="I154" i="3" s="1"/>
  <c r="AJ155" i="3"/>
  <c r="H155" i="3"/>
  <c r="I155" i="3" s="1"/>
  <c r="AJ112" i="3"/>
  <c r="H112" i="3"/>
  <c r="I112" i="3" s="1"/>
  <c r="AJ167" i="3"/>
  <c r="H167" i="3"/>
  <c r="I167" i="3" s="1"/>
  <c r="AJ36" i="3"/>
  <c r="H36" i="3"/>
  <c r="I36" i="3" s="1"/>
  <c r="AJ111" i="3"/>
  <c r="H111" i="3"/>
  <c r="I111" i="3" s="1"/>
  <c r="AJ184" i="3"/>
  <c r="H184" i="3"/>
  <c r="I184" i="3" s="1"/>
  <c r="H202" i="3"/>
  <c r="I202" i="3" s="1"/>
  <c r="AJ165" i="3"/>
  <c r="H165" i="3"/>
  <c r="I165" i="3" s="1"/>
  <c r="A193" i="3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J102" i="3"/>
  <c r="H102" i="3"/>
  <c r="I102" i="3" s="1"/>
  <c r="AJ191" i="3"/>
  <c r="AJ197" i="3"/>
  <c r="H197" i="3"/>
  <c r="I197" i="3" s="1"/>
  <c r="AJ189" i="3"/>
  <c r="AJ95" i="3"/>
  <c r="H95" i="3"/>
  <c r="I95" i="3" s="1"/>
  <c r="AJ107" i="3"/>
  <c r="H107" i="3"/>
  <c r="I107" i="3" s="1"/>
  <c r="AJ126" i="3"/>
  <c r="H126" i="3"/>
  <c r="I126" i="3" s="1"/>
  <c r="AJ41" i="3"/>
  <c r="H41" i="3"/>
  <c r="I41" i="3" s="1"/>
  <c r="AJ30" i="3"/>
  <c r="H30" i="3"/>
  <c r="I30" i="3" s="1"/>
  <c r="AJ8" i="3"/>
  <c r="H8" i="3"/>
  <c r="I8" i="3" s="1"/>
  <c r="AJ153" i="3"/>
  <c r="H153" i="3"/>
  <c r="I153" i="3" s="1"/>
  <c r="AJ33" i="3"/>
  <c r="H33" i="3"/>
  <c r="I33" i="3" s="1"/>
  <c r="AJ180" i="3"/>
  <c r="AJ205" i="3"/>
  <c r="H205" i="3"/>
  <c r="I205" i="3" s="1"/>
  <c r="AJ91" i="3"/>
  <c r="H91" i="3"/>
  <c r="I91" i="3" s="1"/>
  <c r="AJ118" i="3"/>
  <c r="H118" i="3"/>
  <c r="I118" i="3" s="1"/>
  <c r="AJ176" i="3"/>
  <c r="AJ175" i="3"/>
  <c r="AJ174" i="3"/>
  <c r="AJ173" i="3"/>
  <c r="AJ172" i="3"/>
  <c r="AJ11" i="3"/>
  <c r="H11" i="3"/>
  <c r="I11" i="3" s="1"/>
  <c r="AJ12" i="3"/>
  <c r="H12" i="3"/>
  <c r="I12" i="3" s="1"/>
  <c r="AJ161" i="3"/>
  <c r="H161" i="3"/>
  <c r="I161" i="3" s="1"/>
  <c r="AJ50" i="3"/>
  <c r="H50" i="3"/>
  <c r="I50" i="3" s="1"/>
  <c r="AJ159" i="3"/>
  <c r="H159" i="3"/>
  <c r="I159" i="3" s="1"/>
  <c r="AJ166" i="3"/>
  <c r="AJ22" i="3"/>
  <c r="H22" i="3"/>
  <c r="I22" i="3" s="1"/>
  <c r="AJ198" i="3"/>
  <c r="H198" i="3"/>
  <c r="I198" i="3" s="1"/>
  <c r="AJ57" i="3"/>
  <c r="H57" i="3"/>
  <c r="I57" i="3" s="1"/>
  <c r="AJ115" i="3"/>
  <c r="H115" i="3"/>
  <c r="I115" i="3" s="1"/>
  <c r="AJ49" i="3"/>
  <c r="H49" i="3"/>
  <c r="I49" i="3" s="1"/>
  <c r="AJ190" i="3"/>
  <c r="H190" i="3"/>
  <c r="I190" i="3" s="1"/>
  <c r="AJ134" i="3"/>
  <c r="H134" i="3"/>
  <c r="I134" i="3" s="1"/>
  <c r="AJ207" i="3"/>
  <c r="H207" i="3"/>
  <c r="I207" i="3" s="1"/>
  <c r="AJ179" i="3"/>
  <c r="H179" i="3"/>
  <c r="I179" i="3" s="1"/>
  <c r="AJ137" i="3"/>
  <c r="H137" i="3"/>
  <c r="I137" i="3" s="1"/>
  <c r="AJ18" i="3"/>
  <c r="H18" i="3"/>
  <c r="I18" i="3" s="1"/>
  <c r="AJ152" i="3"/>
  <c r="H152" i="3"/>
  <c r="I152" i="3" s="1"/>
  <c r="AJ151" i="3"/>
  <c r="H151" i="3"/>
  <c r="I151" i="3" s="1"/>
  <c r="AJ27" i="3"/>
  <c r="H27" i="3"/>
  <c r="I27" i="3" s="1"/>
  <c r="AJ81" i="3"/>
  <c r="H81" i="3"/>
  <c r="I81" i="3" s="1"/>
  <c r="AJ109" i="3"/>
  <c r="H109" i="3"/>
  <c r="I109" i="3" s="1"/>
  <c r="AJ149" i="3"/>
  <c r="AJ148" i="3"/>
  <c r="AJ37" i="3"/>
  <c r="H37" i="3"/>
  <c r="I37" i="3" s="1"/>
  <c r="AJ146" i="3"/>
  <c r="AJ145" i="3"/>
  <c r="AJ144" i="3"/>
  <c r="AJ143" i="3"/>
  <c r="AJ178" i="3"/>
  <c r="H178" i="3"/>
  <c r="I178" i="3" s="1"/>
  <c r="AJ183" i="3"/>
  <c r="H183" i="3"/>
  <c r="I183" i="3" s="1"/>
  <c r="AJ140" i="3"/>
  <c r="AJ139" i="3"/>
  <c r="AJ138" i="3"/>
  <c r="AJ19" i="3"/>
  <c r="H19" i="3"/>
  <c r="I19" i="3" s="1"/>
  <c r="AJ136" i="3"/>
  <c r="AJ135" i="3"/>
  <c r="AJ15" i="3"/>
  <c r="T208" i="3"/>
  <c r="H15" i="3"/>
  <c r="I15" i="3" s="1"/>
  <c r="AJ47" i="3"/>
  <c r="H47" i="3"/>
  <c r="I47" i="3" s="1"/>
  <c r="AJ38" i="3"/>
  <c r="H38" i="3"/>
  <c r="I38" i="3" s="1"/>
  <c r="AJ7" i="3"/>
  <c r="H7" i="3"/>
  <c r="I7" i="3" s="1"/>
  <c r="AJ53" i="3"/>
  <c r="H53" i="3"/>
  <c r="I53" i="3" s="1"/>
  <c r="AJ201" i="3"/>
  <c r="H201" i="3"/>
  <c r="I201" i="3" s="1"/>
  <c r="AJ142" i="3"/>
  <c r="H142" i="3"/>
  <c r="I142" i="3" s="1"/>
  <c r="AJ156" i="3"/>
  <c r="H156" i="3"/>
  <c r="I156" i="3" s="1"/>
  <c r="AJ128" i="3"/>
  <c r="H128" i="3"/>
  <c r="I128" i="3" s="1"/>
  <c r="AJ114" i="3"/>
  <c r="H114" i="3"/>
  <c r="I114" i="3" s="1"/>
  <c r="AJ185" i="3"/>
  <c r="H185" i="3"/>
  <c r="I185" i="3" s="1"/>
  <c r="AJ80" i="3"/>
  <c r="H80" i="3"/>
  <c r="I80" i="3" s="1"/>
  <c r="AJ105" i="3"/>
  <c r="H105" i="3"/>
  <c r="I105" i="3" s="1"/>
  <c r="AJ56" i="3"/>
  <c r="H56" i="3"/>
  <c r="I56" i="3" s="1"/>
  <c r="AJ194" i="3"/>
  <c r="H194" i="3"/>
  <c r="I194" i="3" s="1"/>
  <c r="AJ110" i="3"/>
  <c r="H110" i="3"/>
  <c r="I110" i="3" s="1"/>
  <c r="AJ203" i="3"/>
  <c r="H203" i="3"/>
  <c r="I203" i="3" s="1"/>
  <c r="AJ108" i="3"/>
  <c r="H108" i="3"/>
  <c r="I108" i="3" s="1"/>
  <c r="AJ26" i="3"/>
  <c r="H26" i="3"/>
  <c r="I26" i="3" s="1"/>
  <c r="AJ21" i="3"/>
  <c r="H21" i="3"/>
  <c r="I21" i="3" s="1"/>
  <c r="AJ44" i="3"/>
  <c r="H44" i="3"/>
  <c r="I44" i="3" s="1"/>
  <c r="AJ158" i="3"/>
  <c r="H158" i="3"/>
  <c r="I158" i="3" s="1"/>
  <c r="AJ29" i="3"/>
  <c r="V208" i="3"/>
  <c r="H29" i="3"/>
  <c r="I29" i="3" s="1"/>
  <c r="AJ195" i="3"/>
  <c r="H195" i="3"/>
  <c r="I195" i="3" s="1"/>
  <c r="AJ3" i="3"/>
  <c r="H3" i="3"/>
  <c r="I3" i="3" s="1"/>
  <c r="AJ157" i="3"/>
  <c r="H157" i="3"/>
  <c r="I157" i="3" s="1"/>
  <c r="AJ160" i="3"/>
  <c r="H160" i="3"/>
  <c r="I160" i="3" s="1"/>
  <c r="AJ17" i="3"/>
  <c r="H17" i="3"/>
  <c r="I17" i="3" s="1"/>
  <c r="AJ177" i="3"/>
  <c r="H177" i="3"/>
  <c r="I177" i="3" s="1"/>
  <c r="AJ121" i="3"/>
  <c r="H121" i="3"/>
  <c r="I121" i="3" s="1"/>
  <c r="AJ88" i="3"/>
  <c r="H88" i="3"/>
  <c r="I88" i="3" s="1"/>
  <c r="AJ87" i="3"/>
  <c r="H87" i="3"/>
  <c r="I87" i="3" s="1"/>
  <c r="AJ86" i="3"/>
  <c r="H86" i="3"/>
  <c r="I86" i="3" s="1"/>
  <c r="AJ39" i="3"/>
  <c r="H39" i="3"/>
  <c r="I39" i="3" s="1"/>
  <c r="AJ100" i="3"/>
  <c r="AJ99" i="3"/>
  <c r="AJ98" i="3"/>
  <c r="AJ97" i="3"/>
  <c r="AJ96" i="3"/>
  <c r="AJ141" i="3"/>
  <c r="H141" i="3"/>
  <c r="I141" i="3" s="1"/>
  <c r="AJ94" i="3"/>
  <c r="AJ93" i="3"/>
  <c r="AJ34" i="3"/>
  <c r="H34" i="3"/>
  <c r="I34" i="3" s="1"/>
  <c r="AJ5" i="3"/>
  <c r="H5" i="3"/>
  <c r="I5" i="3" s="1"/>
  <c r="AJ116" i="3"/>
  <c r="H116" i="3"/>
  <c r="I116" i="3" s="1"/>
  <c r="AJ89" i="3"/>
  <c r="AJ193" i="3"/>
  <c r="H193" i="3"/>
  <c r="I193" i="3" s="1"/>
  <c r="AJ170" i="3"/>
  <c r="H170" i="3"/>
  <c r="I170" i="3" s="1"/>
  <c r="AJ168" i="3"/>
  <c r="H168" i="3"/>
  <c r="I168" i="3" s="1"/>
  <c r="AJ85" i="3"/>
  <c r="AJ84" i="3"/>
  <c r="AJ83" i="3"/>
  <c r="AJ82" i="3"/>
  <c r="AJ188" i="3"/>
  <c r="H188" i="3"/>
  <c r="I188" i="3" s="1"/>
  <c r="AJ42" i="3"/>
  <c r="H42" i="3"/>
  <c r="I42" i="3" s="1"/>
  <c r="AJ79" i="3"/>
  <c r="AJ78" i="3"/>
  <c r="AJ77" i="3"/>
  <c r="AJ76" i="3"/>
  <c r="AJ75" i="3"/>
  <c r="AJ74" i="3"/>
  <c r="AJ73" i="3"/>
  <c r="AJ72" i="3"/>
  <c r="AJ71" i="3"/>
  <c r="AJ70" i="3"/>
  <c r="AJ69" i="3"/>
  <c r="AJ68" i="3"/>
  <c r="AJ67" i="3"/>
  <c r="AJ66" i="3"/>
  <c r="AJ65" i="3"/>
  <c r="AJ64" i="3"/>
  <c r="AJ63" i="3"/>
  <c r="AJ62" i="3"/>
  <c r="AJ61" i="3"/>
  <c r="AJ60" i="3"/>
  <c r="AJ59" i="3"/>
  <c r="AJ58" i="3"/>
  <c r="AJ104" i="3"/>
  <c r="H104" i="3"/>
  <c r="I104" i="3" s="1"/>
  <c r="AJ45" i="3"/>
  <c r="H45" i="3"/>
  <c r="I45" i="3" s="1"/>
  <c r="AJ187" i="3"/>
  <c r="H187" i="3"/>
  <c r="I187" i="3" s="1"/>
  <c r="AJ181" i="3"/>
  <c r="H181" i="3"/>
  <c r="I181" i="3" s="1"/>
  <c r="AJ20" i="3"/>
  <c r="H20" i="3"/>
  <c r="I20" i="3" s="1"/>
  <c r="AJ52" i="3"/>
  <c r="AJ51" i="3"/>
  <c r="AJ123" i="3"/>
  <c r="H123" i="3"/>
  <c r="I123" i="3" s="1"/>
  <c r="AJ200" i="3"/>
  <c r="H200" i="3"/>
  <c r="I200" i="3" s="1"/>
  <c r="AJ48" i="3"/>
  <c r="AJ199" i="3"/>
  <c r="H199" i="3"/>
  <c r="I199" i="3" s="1"/>
  <c r="AJ46" i="3"/>
  <c r="AJ32" i="3"/>
  <c r="H32" i="3"/>
  <c r="I32" i="3" s="1"/>
  <c r="AJ150" i="3"/>
  <c r="H150" i="3"/>
  <c r="I150" i="3" s="1"/>
  <c r="AJ14" i="3"/>
  <c r="H14" i="3"/>
  <c r="I14" i="3" s="1"/>
  <c r="AJ10" i="3"/>
  <c r="H10" i="3"/>
  <c r="I10" i="3" s="1"/>
  <c r="AJ129" i="3"/>
  <c r="H129" i="3"/>
  <c r="I129" i="3" s="1"/>
  <c r="AJ103" i="3"/>
  <c r="H103" i="3"/>
  <c r="I103" i="3" s="1"/>
  <c r="AJ117" i="3"/>
  <c r="H117" i="3"/>
  <c r="I117" i="3" s="1"/>
  <c r="AJ124" i="3"/>
  <c r="H124" i="3"/>
  <c r="I124" i="3" s="1"/>
  <c r="AJ23" i="3"/>
  <c r="H23" i="3"/>
  <c r="I23" i="3" s="1"/>
  <c r="AJ127" i="3"/>
  <c r="H127" i="3"/>
  <c r="I127" i="3" s="1"/>
  <c r="AJ55" i="3"/>
  <c r="H55" i="3"/>
  <c r="I55" i="3" s="1"/>
  <c r="AJ28" i="3"/>
  <c r="H28" i="3"/>
  <c r="I28" i="3" s="1"/>
  <c r="AJ101" i="3"/>
  <c r="H101" i="3"/>
  <c r="I101" i="3" s="1"/>
  <c r="AJ35" i="3"/>
  <c r="H35" i="3"/>
  <c r="I35" i="3" s="1"/>
  <c r="AJ31" i="3"/>
  <c r="AJ90" i="3"/>
  <c r="H90" i="3"/>
  <c r="I90" i="3" s="1"/>
  <c r="AJ169" i="3"/>
  <c r="H169" i="3"/>
  <c r="I169" i="3" s="1"/>
  <c r="AJ120" i="3"/>
  <c r="H120" i="3"/>
  <c r="I120" i="3" s="1"/>
  <c r="AJ40" i="3"/>
  <c r="H40" i="3"/>
  <c r="I40" i="3" s="1"/>
  <c r="AJ106" i="3"/>
  <c r="H106" i="3"/>
  <c r="I106" i="3" s="1"/>
  <c r="AJ92" i="3"/>
  <c r="H92" i="3"/>
  <c r="I92" i="3" s="1"/>
  <c r="AJ25" i="3"/>
  <c r="H25" i="3"/>
  <c r="I25" i="3" s="1"/>
  <c r="AJ186" i="3"/>
  <c r="H186" i="3"/>
  <c r="I186" i="3" s="1"/>
  <c r="AJ9" i="3"/>
  <c r="H9" i="3"/>
  <c r="I9" i="3" s="1"/>
  <c r="AJ132" i="3"/>
  <c r="H132" i="3"/>
  <c r="I132" i="3" s="1"/>
  <c r="AJ133" i="3"/>
  <c r="H133" i="3"/>
  <c r="I133" i="3" s="1"/>
  <c r="AJ131" i="3"/>
  <c r="H131" i="3"/>
  <c r="I131" i="3" s="1"/>
  <c r="AJ125" i="3"/>
  <c r="H125" i="3"/>
  <c r="I125" i="3" s="1"/>
  <c r="AJ54" i="3"/>
  <c r="H54" i="3"/>
  <c r="I54" i="3" s="1"/>
  <c r="AJ196" i="3"/>
  <c r="H196" i="3"/>
  <c r="I196" i="3" s="1"/>
  <c r="AJ206" i="3"/>
  <c r="AJ147" i="3"/>
  <c r="U208" i="3"/>
  <c r="H147" i="3"/>
  <c r="I147" i="3" s="1"/>
  <c r="AJ113" i="3"/>
  <c r="H113" i="3"/>
  <c r="I113" i="3" s="1"/>
  <c r="AJ182" i="3"/>
  <c r="H182" i="3"/>
  <c r="I182" i="3" s="1"/>
  <c r="AJ163" i="3"/>
  <c r="H163" i="3"/>
  <c r="I163" i="3" s="1"/>
  <c r="AJ162" i="3"/>
  <c r="H162" i="3"/>
  <c r="I162" i="3" s="1"/>
  <c r="AJ13" i="3"/>
  <c r="H13" i="3"/>
  <c r="I13" i="3" s="1"/>
  <c r="AJ16" i="3"/>
  <c r="H16" i="3"/>
  <c r="I16" i="3" s="1"/>
  <c r="AJ43" i="3"/>
  <c r="H43" i="3"/>
  <c r="I43" i="3" s="1"/>
  <c r="AJ6" i="3"/>
  <c r="AJ24" i="3"/>
  <c r="H24" i="3"/>
  <c r="I24" i="3" s="1"/>
  <c r="AJ4" i="3"/>
  <c r="AJ130" i="3"/>
  <c r="H130" i="3"/>
  <c r="I130" i="3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K208" i="1"/>
  <c r="H30" i="1"/>
  <c r="I208" i="3" l="1"/>
  <c r="AJ208" i="3"/>
  <c r="P119" i="1"/>
  <c r="P29" i="1"/>
  <c r="P161" i="1"/>
  <c r="P142" i="1" l="1"/>
  <c r="P41" i="1"/>
  <c r="P127" i="1" l="1"/>
  <c r="P24" i="1" l="1"/>
  <c r="P205" i="1" l="1"/>
  <c r="P196" i="1" l="1"/>
  <c r="P193" i="1"/>
  <c r="P187" i="1" l="1"/>
  <c r="H50" i="1" l="1"/>
  <c r="I50" i="1" s="1"/>
  <c r="P155" i="1" l="1"/>
  <c r="P53" i="1"/>
  <c r="P54" i="1"/>
  <c r="P122" i="1"/>
  <c r="P39" i="1"/>
  <c r="P179" i="1"/>
  <c r="P168" i="1"/>
  <c r="P38" i="1"/>
  <c r="P26" i="1"/>
  <c r="P160" i="1"/>
  <c r="P12" i="1" l="1"/>
  <c r="P111" i="1"/>
  <c r="H33" i="1" l="1"/>
  <c r="H160" i="1"/>
  <c r="H161" i="1"/>
  <c r="H32" i="1"/>
  <c r="P30" i="1" l="1"/>
  <c r="P44" i="1"/>
  <c r="P184" i="1" l="1"/>
  <c r="P170" i="1" l="1"/>
  <c r="P120" i="1"/>
  <c r="P137" i="1"/>
  <c r="P129" i="1" l="1"/>
  <c r="P108" i="1"/>
  <c r="P14" i="1"/>
  <c r="P208" i="1" l="1"/>
  <c r="O114" i="1" l="1"/>
  <c r="O110" i="1"/>
  <c r="O177" i="1"/>
  <c r="O141" i="1" l="1"/>
  <c r="O157" i="1"/>
  <c r="O8" i="1" l="1"/>
  <c r="O18" i="1"/>
  <c r="O15" i="1"/>
  <c r="H36" i="1" l="1"/>
  <c r="I36" i="1" s="1"/>
  <c r="O171" i="1"/>
  <c r="O205" i="1"/>
  <c r="O95" i="1" l="1"/>
  <c r="H55" i="1" l="1"/>
  <c r="I55" i="1" s="1"/>
  <c r="H56" i="1"/>
  <c r="I56" i="1" s="1"/>
  <c r="H57" i="1"/>
  <c r="I57" i="1" s="1"/>
  <c r="H190" i="1" l="1"/>
  <c r="I190" i="1" s="1"/>
  <c r="H193" i="1" l="1"/>
  <c r="I193" i="1" s="1"/>
  <c r="H194" i="1"/>
  <c r="I194" i="1" s="1"/>
  <c r="H195" i="1"/>
  <c r="I195" i="1" s="1"/>
  <c r="H196" i="1"/>
  <c r="I196" i="1" s="1"/>
  <c r="H202" i="1"/>
  <c r="I202" i="1" s="1"/>
  <c r="H197" i="1"/>
  <c r="I197" i="1" s="1"/>
  <c r="H198" i="1"/>
  <c r="I198" i="1" s="1"/>
  <c r="H199" i="1"/>
  <c r="I199" i="1" s="1"/>
  <c r="H200" i="1"/>
  <c r="I200" i="1" s="1"/>
  <c r="H201" i="1"/>
  <c r="I201" i="1" s="1"/>
  <c r="H203" i="1"/>
  <c r="I203" i="1" s="1"/>
  <c r="H207" i="1"/>
  <c r="I207" i="1" s="1"/>
  <c r="H205" i="1"/>
  <c r="I205" i="1" s="1"/>
  <c r="H184" i="1"/>
  <c r="I184" i="1" s="1"/>
  <c r="H183" i="1"/>
  <c r="I183" i="1" s="1"/>
  <c r="H182" i="1"/>
  <c r="I182" i="1" s="1"/>
  <c r="H179" i="1"/>
  <c r="I179" i="1" s="1"/>
  <c r="H181" i="1"/>
  <c r="I181" i="1" s="1"/>
  <c r="H158" i="1"/>
  <c r="I158" i="1" s="1"/>
  <c r="H156" i="1"/>
  <c r="I156" i="1" s="1"/>
  <c r="H128" i="1"/>
  <c r="I128" i="1" s="1"/>
  <c r="H102" i="1"/>
  <c r="I102" i="1" s="1"/>
  <c r="H44" i="1"/>
  <c r="I44" i="1" s="1"/>
  <c r="H41" i="1"/>
  <c r="I41" i="1" s="1"/>
  <c r="H38" i="1"/>
  <c r="I38" i="1" s="1"/>
  <c r="H26" i="1"/>
  <c r="I26" i="1" s="1"/>
  <c r="H12" i="1"/>
  <c r="I12" i="1" s="1"/>
  <c r="H11" i="1"/>
  <c r="I11" i="1" s="1"/>
  <c r="I30" i="1"/>
  <c r="Q202" i="1" l="1"/>
  <c r="H178" i="1"/>
  <c r="I178" i="1" s="1"/>
  <c r="H153" i="1"/>
  <c r="I153" i="1" s="1"/>
  <c r="H150" i="1"/>
  <c r="I150" i="1" s="1"/>
  <c r="H88" i="1"/>
  <c r="I88" i="1" s="1"/>
  <c r="H87" i="1"/>
  <c r="I87" i="1" s="1"/>
  <c r="H86" i="1"/>
  <c r="I86" i="1" s="1"/>
  <c r="H54" i="1"/>
  <c r="I54" i="1" s="1"/>
  <c r="H49" i="1"/>
  <c r="I49" i="1" s="1"/>
  <c r="I33" i="1"/>
  <c r="I32" i="1"/>
  <c r="H14" i="1"/>
  <c r="I14" i="1" s="1"/>
  <c r="AE202" i="1" l="1"/>
  <c r="H134" i="1"/>
  <c r="I134" i="1" s="1"/>
  <c r="H37" i="1"/>
  <c r="I37" i="1" s="1"/>
  <c r="H141" i="1"/>
  <c r="I141" i="1" s="1"/>
  <c r="H34" i="1"/>
  <c r="I34" i="1" s="1"/>
  <c r="H171" i="1" l="1"/>
  <c r="I171" i="1" s="1"/>
  <c r="H164" i="1"/>
  <c r="I164" i="1" s="1"/>
  <c r="H154" i="1"/>
  <c r="I154" i="1" s="1"/>
  <c r="H167" i="1"/>
  <c r="I167" i="1" s="1"/>
  <c r="H22" i="1" l="1"/>
  <c r="I22" i="1" s="1"/>
  <c r="H152" i="1"/>
  <c r="I152" i="1" s="1"/>
  <c r="H27" i="1"/>
  <c r="I27" i="1" s="1"/>
  <c r="H109" i="1"/>
  <c r="I109" i="1" s="1"/>
  <c r="H47" i="1"/>
  <c r="I47" i="1" s="1"/>
  <c r="H121" i="1"/>
  <c r="I121" i="1" s="1"/>
  <c r="H39" i="1"/>
  <c r="I39" i="1" s="1"/>
  <c r="H5" i="1"/>
  <c r="I5" i="1" s="1"/>
  <c r="H116" i="1"/>
  <c r="I116" i="1" s="1"/>
  <c r="H170" i="1"/>
  <c r="I170" i="1" s="1"/>
  <c r="H188" i="1"/>
  <c r="I188" i="1" s="1"/>
  <c r="H187" i="1"/>
  <c r="I187" i="1" s="1"/>
  <c r="H129" i="1"/>
  <c r="I129" i="1" s="1"/>
  <c r="H117" i="1"/>
  <c r="I117" i="1" s="1"/>
  <c r="H101" i="1"/>
  <c r="I101" i="1" s="1"/>
  <c r="H35" i="1"/>
  <c r="I35" i="1" s="1"/>
  <c r="H92" i="1"/>
  <c r="I92" i="1" s="1"/>
  <c r="H25" i="1"/>
  <c r="I25" i="1" s="1"/>
  <c r="H186" i="1"/>
  <c r="I186" i="1" s="1"/>
  <c r="H9" i="1"/>
  <c r="I9" i="1" s="1"/>
  <c r="H133" i="1"/>
  <c r="I133" i="1" s="1"/>
  <c r="H131" i="1"/>
  <c r="I131" i="1" s="1"/>
  <c r="H43" i="1"/>
  <c r="I43" i="1" s="1"/>
  <c r="H130" i="1"/>
  <c r="I130" i="1" s="1"/>
  <c r="O137" i="1" l="1"/>
  <c r="O208" i="1" l="1"/>
  <c r="N29" i="1" l="1"/>
  <c r="H3" i="1" l="1"/>
  <c r="I3" i="1" s="1"/>
  <c r="H108" i="1" l="1"/>
  <c r="I108" i="1" s="1"/>
  <c r="H177" i="1" l="1"/>
  <c r="I177" i="1" s="1"/>
  <c r="H169" i="1"/>
  <c r="I169" i="1" s="1"/>
  <c r="H165" i="1"/>
  <c r="I165" i="1" s="1"/>
  <c r="I161" i="1"/>
  <c r="H147" i="1"/>
  <c r="I147" i="1" s="1"/>
  <c r="H127" i="1"/>
  <c r="I127" i="1" s="1"/>
  <c r="H125" i="1"/>
  <c r="I125" i="1" s="1"/>
  <c r="H123" i="1"/>
  <c r="I123" i="1" s="1"/>
  <c r="H118" i="1"/>
  <c r="I118" i="1" s="1"/>
  <c r="H90" i="1"/>
  <c r="I90" i="1" s="1"/>
  <c r="H81" i="1"/>
  <c r="I81" i="1" s="1"/>
  <c r="H80" i="1"/>
  <c r="I80" i="1" s="1"/>
  <c r="H45" i="1"/>
  <c r="I45" i="1" s="1"/>
  <c r="H28" i="1"/>
  <c r="I28" i="1" s="1"/>
  <c r="H24" i="1"/>
  <c r="I24" i="1" s="1"/>
  <c r="H21" i="1"/>
  <c r="I21" i="1" s="1"/>
  <c r="H20" i="1"/>
  <c r="I20" i="1" s="1"/>
  <c r="H15" i="1"/>
  <c r="I15" i="1" s="1"/>
  <c r="H115" i="1"/>
  <c r="I115" i="1" s="1"/>
  <c r="H110" i="1"/>
  <c r="I110" i="1" s="1"/>
  <c r="H103" i="1"/>
  <c r="I103" i="1" s="1"/>
  <c r="H104" i="1"/>
  <c r="I104" i="1" s="1"/>
  <c r="N111" i="1"/>
  <c r="N208" i="1" s="1"/>
  <c r="J208" i="1" l="1"/>
  <c r="M201" i="1" l="1"/>
  <c r="M147" i="1" l="1"/>
  <c r="M208" i="1" s="1"/>
  <c r="H119" i="1" l="1"/>
  <c r="I119" i="1" s="1"/>
  <c r="H29" i="1" l="1"/>
  <c r="I29" i="1" s="1"/>
  <c r="H23" i="1"/>
  <c r="I23" i="1" s="1"/>
  <c r="H107" i="1" l="1"/>
  <c r="I107" i="1" s="1"/>
  <c r="H168" i="1" l="1"/>
  <c r="I168" i="1" s="1"/>
  <c r="H163" i="1"/>
  <c r="I163" i="1" s="1"/>
  <c r="H162" i="1"/>
  <c r="I162" i="1" s="1"/>
  <c r="H159" i="1"/>
  <c r="I159" i="1" s="1"/>
  <c r="H157" i="1"/>
  <c r="I157" i="1" s="1"/>
  <c r="H155" i="1"/>
  <c r="I155" i="1" s="1"/>
  <c r="H151" i="1"/>
  <c r="I151" i="1" s="1"/>
  <c r="H142" i="1"/>
  <c r="I142" i="1" s="1"/>
  <c r="H137" i="1"/>
  <c r="I137" i="1" s="1"/>
  <c r="H132" i="1"/>
  <c r="I132" i="1" s="1"/>
  <c r="H126" i="1"/>
  <c r="I126" i="1" s="1"/>
  <c r="H124" i="1"/>
  <c r="I124" i="1" s="1"/>
  <c r="H122" i="1"/>
  <c r="I122" i="1" s="1"/>
  <c r="H120" i="1"/>
  <c r="I120" i="1" s="1"/>
  <c r="H114" i="1"/>
  <c r="I114" i="1" s="1"/>
  <c r="H113" i="1"/>
  <c r="I113" i="1" s="1"/>
  <c r="H112" i="1"/>
  <c r="I112" i="1" s="1"/>
  <c r="H185" i="1"/>
  <c r="I185" i="1" s="1"/>
  <c r="H111" i="1"/>
  <c r="I111" i="1" s="1"/>
  <c r="H106" i="1"/>
  <c r="I106" i="1" s="1"/>
  <c r="H105" i="1"/>
  <c r="I105" i="1" s="1"/>
  <c r="H95" i="1"/>
  <c r="I95" i="1" s="1"/>
  <c r="H91" i="1"/>
  <c r="I91" i="1" s="1"/>
  <c r="H53" i="1"/>
  <c r="I53" i="1" s="1"/>
  <c r="H40" i="1"/>
  <c r="I40" i="1" s="1"/>
  <c r="H17" i="1"/>
  <c r="I17" i="1" s="1"/>
  <c r="H18" i="1"/>
  <c r="I18" i="1" s="1"/>
  <c r="H19" i="1"/>
  <c r="I19" i="1" s="1"/>
  <c r="H16" i="1"/>
  <c r="I16" i="1" s="1"/>
  <c r="H13" i="1"/>
  <c r="I13" i="1" s="1"/>
  <c r="H10" i="1"/>
  <c r="I10" i="1" s="1"/>
  <c r="H8" i="1"/>
  <c r="I8" i="1" s="1"/>
  <c r="H7" i="1"/>
  <c r="I7" i="1" s="1"/>
  <c r="L15" i="1"/>
  <c r="L208" i="1" s="1"/>
  <c r="AD195" i="1" l="1"/>
  <c r="AD4" i="1"/>
  <c r="AD198" i="1"/>
  <c r="AD5" i="1"/>
  <c r="AD6" i="1"/>
  <c r="AD7" i="1"/>
  <c r="AD8" i="1"/>
  <c r="AD9" i="1"/>
  <c r="AD10" i="1"/>
  <c r="AD11" i="1"/>
  <c r="AD207" i="1"/>
  <c r="AD12" i="1"/>
  <c r="AD13" i="1"/>
  <c r="AD14" i="1"/>
  <c r="AD189" i="1"/>
  <c r="AD15" i="1"/>
  <c r="AD16" i="1"/>
  <c r="AD17" i="1"/>
  <c r="AD18" i="1"/>
  <c r="AD193" i="1"/>
  <c r="AD19" i="1"/>
  <c r="AD20" i="1"/>
  <c r="AD21" i="1"/>
  <c r="AD22" i="1"/>
  <c r="AD23" i="1"/>
  <c r="AD24" i="1"/>
  <c r="AD196" i="1"/>
  <c r="AD25" i="1"/>
  <c r="AD197" i="1"/>
  <c r="AD26" i="1"/>
  <c r="AD27" i="1"/>
  <c r="AD28" i="1"/>
  <c r="AD29" i="1"/>
  <c r="AD30" i="1"/>
  <c r="AD31" i="1"/>
  <c r="AD32" i="1"/>
  <c r="AD199" i="1"/>
  <c r="AD33" i="1"/>
  <c r="AD200" i="1"/>
  <c r="AD34" i="1"/>
  <c r="AD35" i="1"/>
  <c r="AD36" i="1"/>
  <c r="AD37" i="1"/>
  <c r="AD38" i="1"/>
  <c r="AD39" i="1"/>
  <c r="AD40" i="1"/>
  <c r="AD41" i="1"/>
  <c r="AD201" i="1"/>
  <c r="AD42" i="1"/>
  <c r="AD203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204" i="1"/>
  <c r="AD79" i="1"/>
  <c r="AD80" i="1"/>
  <c r="AD205" i="1"/>
  <c r="AD81" i="1"/>
  <c r="AD206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84" i="1"/>
  <c r="AD108" i="1"/>
  <c r="AD109" i="1"/>
  <c r="AD110" i="1"/>
  <c r="AD111" i="1"/>
  <c r="AD185" i="1"/>
  <c r="AD112" i="1"/>
  <c r="AD113" i="1"/>
  <c r="AD114" i="1"/>
  <c r="AD115" i="1"/>
  <c r="AD116" i="1"/>
  <c r="AD117" i="1"/>
  <c r="AD186" i="1"/>
  <c r="AD118" i="1"/>
  <c r="AD119" i="1"/>
  <c r="AD187" i="1"/>
  <c r="AD120" i="1"/>
  <c r="AD121" i="1"/>
  <c r="AD188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90" i="1"/>
  <c r="AD143" i="1"/>
  <c r="AD144" i="1"/>
  <c r="AD191" i="1"/>
  <c r="AD145" i="1"/>
  <c r="AD146" i="1"/>
  <c r="AD147" i="1"/>
  <c r="AD148" i="1"/>
  <c r="AD149" i="1"/>
  <c r="AD150" i="1"/>
  <c r="AD151" i="1"/>
  <c r="AD152" i="1"/>
  <c r="AD153" i="1"/>
  <c r="AD154" i="1"/>
  <c r="AD155" i="1"/>
  <c r="AD192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94" i="1"/>
  <c r="AD181" i="1"/>
  <c r="AD182" i="1"/>
  <c r="AD183" i="1"/>
  <c r="AD3" i="1"/>
  <c r="Q5" i="1"/>
  <c r="Q6" i="1"/>
  <c r="J6" i="3" s="1"/>
  <c r="W6" i="3" s="1"/>
  <c r="Q9" i="1"/>
  <c r="Q11" i="1"/>
  <c r="Q207" i="1"/>
  <c r="Q12" i="1"/>
  <c r="Q14" i="1"/>
  <c r="Q189" i="1"/>
  <c r="J189" i="3" s="1"/>
  <c r="W189" i="3" s="1"/>
  <c r="Q15" i="1"/>
  <c r="Q20" i="1"/>
  <c r="Q21" i="1"/>
  <c r="Q22" i="1"/>
  <c r="Q24" i="1"/>
  <c r="Q196" i="1"/>
  <c r="Q25" i="1"/>
  <c r="Q197" i="1"/>
  <c r="Q26" i="1"/>
  <c r="Q27" i="1"/>
  <c r="Q28" i="1"/>
  <c r="Q29" i="1"/>
  <c r="Q30" i="1"/>
  <c r="Q31" i="1"/>
  <c r="J31" i="3" s="1"/>
  <c r="W31" i="3" s="1"/>
  <c r="Q32" i="1"/>
  <c r="J32" i="3" s="1"/>
  <c r="W32" i="3" s="1"/>
  <c r="Q199" i="1"/>
  <c r="Q33" i="1"/>
  <c r="Q200" i="1"/>
  <c r="Q34" i="1"/>
  <c r="J34" i="3" s="1"/>
  <c r="W34" i="3" s="1"/>
  <c r="Q35" i="1"/>
  <c r="Q36" i="1"/>
  <c r="Q37" i="1"/>
  <c r="Q38" i="1"/>
  <c r="Q39" i="1"/>
  <c r="Q203" i="1"/>
  <c r="Q44" i="1"/>
  <c r="Q45" i="1"/>
  <c r="J45" i="3" s="1"/>
  <c r="W45" i="3" s="1"/>
  <c r="Q46" i="1"/>
  <c r="J46" i="3" s="1"/>
  <c r="W46" i="3" s="1"/>
  <c r="Q47" i="1"/>
  <c r="J47" i="3" s="1"/>
  <c r="W47" i="3" s="1"/>
  <c r="Q48" i="1"/>
  <c r="J48" i="3" s="1"/>
  <c r="W48" i="3" s="1"/>
  <c r="Q49" i="1"/>
  <c r="J49" i="3" s="1"/>
  <c r="W49" i="3" s="1"/>
  <c r="Q51" i="1"/>
  <c r="J51" i="3" s="1"/>
  <c r="W51" i="3" s="1"/>
  <c r="Q52" i="1"/>
  <c r="J52" i="3" s="1"/>
  <c r="W52" i="3" s="1"/>
  <c r="Q54" i="1"/>
  <c r="Q55" i="1"/>
  <c r="Q56" i="1"/>
  <c r="J56" i="3" s="1"/>
  <c r="W56" i="3" s="1"/>
  <c r="Q57" i="1"/>
  <c r="Q58" i="1"/>
  <c r="J58" i="3" s="1"/>
  <c r="W58" i="3" s="1"/>
  <c r="Q59" i="1"/>
  <c r="J59" i="3" s="1"/>
  <c r="W59" i="3" s="1"/>
  <c r="Q60" i="1"/>
  <c r="J60" i="3" s="1"/>
  <c r="W60" i="3" s="1"/>
  <c r="Q61" i="1"/>
  <c r="J61" i="3" s="1"/>
  <c r="W61" i="3" s="1"/>
  <c r="Q62" i="1"/>
  <c r="J62" i="3" s="1"/>
  <c r="W62" i="3" s="1"/>
  <c r="Q63" i="1"/>
  <c r="J63" i="3" s="1"/>
  <c r="W63" i="3" s="1"/>
  <c r="Q64" i="1"/>
  <c r="J64" i="3" s="1"/>
  <c r="W64" i="3" s="1"/>
  <c r="Q65" i="1"/>
  <c r="J65" i="3" s="1"/>
  <c r="W65" i="3" s="1"/>
  <c r="Q66" i="1"/>
  <c r="J66" i="3" s="1"/>
  <c r="W66" i="3" s="1"/>
  <c r="Q67" i="1"/>
  <c r="J67" i="3" s="1"/>
  <c r="W67" i="3" s="1"/>
  <c r="Q68" i="1"/>
  <c r="J68" i="3" s="1"/>
  <c r="W68" i="3" s="1"/>
  <c r="Q69" i="1"/>
  <c r="J69" i="3" s="1"/>
  <c r="W69" i="3" s="1"/>
  <c r="Q70" i="1"/>
  <c r="J70" i="3" s="1"/>
  <c r="W70" i="3" s="1"/>
  <c r="Q71" i="1"/>
  <c r="J71" i="3" s="1"/>
  <c r="W71" i="3" s="1"/>
  <c r="Q72" i="1"/>
  <c r="J72" i="3" s="1"/>
  <c r="W72" i="3" s="1"/>
  <c r="Q73" i="1"/>
  <c r="J73" i="3" s="1"/>
  <c r="W73" i="3" s="1"/>
  <c r="Q74" i="1"/>
  <c r="J74" i="3" s="1"/>
  <c r="W74" i="3" s="1"/>
  <c r="Q75" i="1"/>
  <c r="J75" i="3" s="1"/>
  <c r="W75" i="3" s="1"/>
  <c r="Q76" i="1"/>
  <c r="J76" i="3" s="1"/>
  <c r="W76" i="3" s="1"/>
  <c r="Q77" i="1"/>
  <c r="J77" i="3" s="1"/>
  <c r="W77" i="3" s="1"/>
  <c r="Q78" i="1"/>
  <c r="J78" i="3" s="1"/>
  <c r="W78" i="3" s="1"/>
  <c r="Q204" i="1"/>
  <c r="J204" i="3" s="1"/>
  <c r="W204" i="3" s="1"/>
  <c r="Q79" i="1"/>
  <c r="J79" i="3" s="1"/>
  <c r="W79" i="3" s="1"/>
  <c r="Q80" i="1"/>
  <c r="Q205" i="1"/>
  <c r="Q81" i="1"/>
  <c r="Q206" i="1"/>
  <c r="Q82" i="1"/>
  <c r="J82" i="3" s="1"/>
  <c r="W82" i="3" s="1"/>
  <c r="Q83" i="1"/>
  <c r="J83" i="3" s="1"/>
  <c r="W83" i="3" s="1"/>
  <c r="Q84" i="1"/>
  <c r="J84" i="3" s="1"/>
  <c r="W84" i="3" s="1"/>
  <c r="Q85" i="1"/>
  <c r="J85" i="3" s="1"/>
  <c r="W85" i="3" s="1"/>
  <c r="Q86" i="1"/>
  <c r="Q87" i="1"/>
  <c r="Q88" i="1"/>
  <c r="Q89" i="1"/>
  <c r="J89" i="3" s="1"/>
  <c r="W89" i="3" s="1"/>
  <c r="Q90" i="1"/>
  <c r="J90" i="3" s="1"/>
  <c r="W90" i="3" s="1"/>
  <c r="Q92" i="1"/>
  <c r="Q93" i="1"/>
  <c r="J93" i="3" s="1"/>
  <c r="W93" i="3" s="1"/>
  <c r="Q94" i="1"/>
  <c r="J94" i="3" s="1"/>
  <c r="W94" i="3" s="1"/>
  <c r="Q96" i="1"/>
  <c r="J96" i="3" s="1"/>
  <c r="W96" i="3" s="1"/>
  <c r="Q97" i="1"/>
  <c r="J97" i="3" s="1"/>
  <c r="W97" i="3" s="1"/>
  <c r="Q98" i="1"/>
  <c r="J98" i="3" s="1"/>
  <c r="W98" i="3" s="1"/>
  <c r="Q99" i="1"/>
  <c r="J99" i="3" s="1"/>
  <c r="W99" i="3" s="1"/>
  <c r="Q100" i="1"/>
  <c r="J100" i="3" s="1"/>
  <c r="W100" i="3" s="1"/>
  <c r="Q101" i="1"/>
  <c r="J101" i="3" s="1"/>
  <c r="W101" i="3" s="1"/>
  <c r="Q102" i="1"/>
  <c r="J102" i="3" s="1"/>
  <c r="W102" i="3" s="1"/>
  <c r="Q103" i="1"/>
  <c r="J103" i="3" s="1"/>
  <c r="W103" i="3" s="1"/>
  <c r="Q104" i="1"/>
  <c r="Q107" i="1"/>
  <c r="Q184" i="1"/>
  <c r="J184" i="3" s="1"/>
  <c r="W184" i="3" s="1"/>
  <c r="Q108" i="1"/>
  <c r="Q109" i="1"/>
  <c r="Q110" i="1"/>
  <c r="Q115" i="1"/>
  <c r="J115" i="3" s="1"/>
  <c r="W115" i="3" s="1"/>
  <c r="Q116" i="1"/>
  <c r="J116" i="3" s="1"/>
  <c r="W116" i="3" s="1"/>
  <c r="Q117" i="1"/>
  <c r="J117" i="3" s="1"/>
  <c r="W117" i="3" s="1"/>
  <c r="Q186" i="1"/>
  <c r="Q118" i="1"/>
  <c r="Q119" i="1"/>
  <c r="Q187" i="1"/>
  <c r="J187" i="3" s="1"/>
  <c r="W187" i="3" s="1"/>
  <c r="Q121" i="1"/>
  <c r="Q188" i="1"/>
  <c r="Q123" i="1"/>
  <c r="Q125" i="1"/>
  <c r="Q127" i="1"/>
  <c r="Q128" i="1"/>
  <c r="Q129" i="1"/>
  <c r="Q130" i="1"/>
  <c r="Q131" i="1"/>
  <c r="Q133" i="1"/>
  <c r="J133" i="3" s="1"/>
  <c r="W133" i="3" s="1"/>
  <c r="Q134" i="1"/>
  <c r="J134" i="3" s="1"/>
  <c r="W134" i="3" s="1"/>
  <c r="Q135" i="1"/>
  <c r="J135" i="3" s="1"/>
  <c r="W135" i="3" s="1"/>
  <c r="Q136" i="1"/>
  <c r="J136" i="3" s="1"/>
  <c r="W136" i="3" s="1"/>
  <c r="Q138" i="1"/>
  <c r="J138" i="3" s="1"/>
  <c r="W138" i="3" s="1"/>
  <c r="Q139" i="1"/>
  <c r="J139" i="3" s="1"/>
  <c r="W139" i="3" s="1"/>
  <c r="Q140" i="1"/>
  <c r="J140" i="3" s="1"/>
  <c r="W140" i="3" s="1"/>
  <c r="Q141" i="1"/>
  <c r="Q190" i="1"/>
  <c r="J190" i="3" s="1"/>
  <c r="W190" i="3" s="1"/>
  <c r="Q143" i="1"/>
  <c r="J143" i="3" s="1"/>
  <c r="W143" i="3" s="1"/>
  <c r="Q144" i="1"/>
  <c r="J144" i="3" s="1"/>
  <c r="W144" i="3" s="1"/>
  <c r="Q191" i="1"/>
  <c r="J191" i="3" s="1"/>
  <c r="W191" i="3" s="1"/>
  <c r="Q145" i="1"/>
  <c r="J145" i="3" s="1"/>
  <c r="W145" i="3" s="1"/>
  <c r="Q146" i="1"/>
  <c r="J146" i="3" s="1"/>
  <c r="W146" i="3" s="1"/>
  <c r="Q147" i="1"/>
  <c r="J147" i="3" s="1"/>
  <c r="W147" i="3" s="1"/>
  <c r="Q148" i="1"/>
  <c r="J148" i="3" s="1"/>
  <c r="W148" i="3" s="1"/>
  <c r="Q149" i="1"/>
  <c r="J149" i="3" s="1"/>
  <c r="W149" i="3" s="1"/>
  <c r="Q150" i="1"/>
  <c r="J150" i="3" s="1"/>
  <c r="W150" i="3" s="1"/>
  <c r="Q152" i="1"/>
  <c r="J152" i="3" s="1"/>
  <c r="W152" i="3" s="1"/>
  <c r="Q153" i="1"/>
  <c r="Q154" i="1"/>
  <c r="J154" i="3" s="1"/>
  <c r="W154" i="3" s="1"/>
  <c r="Q192" i="1"/>
  <c r="J192" i="3" s="1"/>
  <c r="W192" i="3" s="1"/>
  <c r="Q156" i="1"/>
  <c r="Q158" i="1"/>
  <c r="J158" i="3" s="1"/>
  <c r="W158" i="3" s="1"/>
  <c r="Q161" i="1"/>
  <c r="J161" i="3" s="1"/>
  <c r="W161" i="3" s="1"/>
  <c r="Q164" i="1"/>
  <c r="Q165" i="1"/>
  <c r="J165" i="3" s="1"/>
  <c r="W165" i="3" s="1"/>
  <c r="Q166" i="1"/>
  <c r="J166" i="3" s="1"/>
  <c r="W166" i="3" s="1"/>
  <c r="Q167" i="1"/>
  <c r="Q169" i="1"/>
  <c r="J169" i="3" s="1"/>
  <c r="W169" i="3" s="1"/>
  <c r="Q170" i="1"/>
  <c r="J170" i="3" s="1"/>
  <c r="W170" i="3" s="1"/>
  <c r="Q171" i="1"/>
  <c r="J171" i="3" s="1"/>
  <c r="W171" i="3" s="1"/>
  <c r="Q172" i="1"/>
  <c r="J172" i="3" s="1"/>
  <c r="W172" i="3" s="1"/>
  <c r="Q173" i="1"/>
  <c r="J173" i="3" s="1"/>
  <c r="W173" i="3" s="1"/>
  <c r="Q174" i="1"/>
  <c r="J174" i="3" s="1"/>
  <c r="W174" i="3" s="1"/>
  <c r="Q175" i="1"/>
  <c r="J175" i="3" s="1"/>
  <c r="W175" i="3" s="1"/>
  <c r="Q176" i="1"/>
  <c r="J176" i="3" s="1"/>
  <c r="W176" i="3" s="1"/>
  <c r="Q177" i="1"/>
  <c r="J177" i="3" s="1"/>
  <c r="W177" i="3" s="1"/>
  <c r="Q178" i="1"/>
  <c r="Q179" i="1"/>
  <c r="J179" i="3" s="1"/>
  <c r="W179" i="3" s="1"/>
  <c r="Q180" i="1"/>
  <c r="J180" i="3" s="1"/>
  <c r="W180" i="3" s="1"/>
  <c r="Q194" i="1"/>
  <c r="J194" i="3" s="1"/>
  <c r="W194" i="3" s="1"/>
  <c r="Q181" i="1"/>
  <c r="J181" i="3" s="1"/>
  <c r="W181" i="3" s="1"/>
  <c r="Q183" i="1"/>
  <c r="Q3" i="1"/>
  <c r="J3" i="3" s="1"/>
  <c r="W3" i="3" s="1"/>
  <c r="Q43" i="1"/>
  <c r="J43" i="3" s="1"/>
  <c r="W43" i="3" s="1"/>
  <c r="Q42" i="1"/>
  <c r="Q41" i="1"/>
  <c r="J41" i="3" s="1"/>
  <c r="W41" i="3" s="1"/>
  <c r="Q201" i="1"/>
  <c r="J201" i="3" s="1"/>
  <c r="W201" i="3" s="1"/>
  <c r="Q4" i="1"/>
  <c r="J4" i="3" s="1"/>
  <c r="W4" i="3" s="1"/>
  <c r="Q182" i="1"/>
  <c r="J182" i="3" s="1"/>
  <c r="W182" i="3" s="1"/>
  <c r="Q168" i="1"/>
  <c r="J168" i="3" s="1"/>
  <c r="W168" i="3" s="1"/>
  <c r="Q163" i="1"/>
  <c r="J163" i="3" s="1"/>
  <c r="W163" i="3" s="1"/>
  <c r="Q162" i="1"/>
  <c r="J162" i="3" s="1"/>
  <c r="W162" i="3" s="1"/>
  <c r="Q159" i="1"/>
  <c r="J159" i="3" s="1"/>
  <c r="W159" i="3" s="1"/>
  <c r="Q157" i="1"/>
  <c r="J157" i="3" s="1"/>
  <c r="W157" i="3" s="1"/>
  <c r="Q155" i="1"/>
  <c r="Q151" i="1"/>
  <c r="J151" i="3" s="1"/>
  <c r="W151" i="3" s="1"/>
  <c r="Q142" i="1"/>
  <c r="J142" i="3" s="1"/>
  <c r="W142" i="3" s="1"/>
  <c r="Q137" i="1"/>
  <c r="Q132" i="1"/>
  <c r="J132" i="3" s="1"/>
  <c r="W132" i="3" s="1"/>
  <c r="Q126" i="1"/>
  <c r="J126" i="3" s="1"/>
  <c r="W126" i="3" s="1"/>
  <c r="Q124" i="1"/>
  <c r="Q122" i="1"/>
  <c r="J122" i="3" s="1"/>
  <c r="W122" i="3" s="1"/>
  <c r="Q120" i="1"/>
  <c r="J120" i="3" s="1"/>
  <c r="W120" i="3" s="1"/>
  <c r="Q114" i="1"/>
  <c r="J114" i="3" s="1"/>
  <c r="W114" i="3" s="1"/>
  <c r="Q113" i="1"/>
  <c r="J113" i="3" s="1"/>
  <c r="W113" i="3" s="1"/>
  <c r="Q112" i="1"/>
  <c r="J112" i="3" s="1"/>
  <c r="W112" i="3" s="1"/>
  <c r="Q111" i="1"/>
  <c r="J111" i="3" s="1"/>
  <c r="W111" i="3" s="1"/>
  <c r="Q185" i="1"/>
  <c r="J185" i="3" s="1"/>
  <c r="W185" i="3" s="1"/>
  <c r="Q106" i="1"/>
  <c r="Q105" i="1"/>
  <c r="J105" i="3" s="1"/>
  <c r="W105" i="3" s="1"/>
  <c r="Q95" i="1"/>
  <c r="J95" i="3" s="1"/>
  <c r="W95" i="3" s="1"/>
  <c r="Q91" i="1"/>
  <c r="J91" i="3" s="1"/>
  <c r="W91" i="3" s="1"/>
  <c r="Q53" i="1"/>
  <c r="J53" i="3" s="1"/>
  <c r="W53" i="3" s="1"/>
  <c r="Q40" i="1"/>
  <c r="J40" i="3" s="1"/>
  <c r="W40" i="3" s="1"/>
  <c r="Q23" i="1"/>
  <c r="J23" i="3" s="1"/>
  <c r="W23" i="3" s="1"/>
  <c r="Q19" i="1"/>
  <c r="J19" i="3" s="1"/>
  <c r="W19" i="3" s="1"/>
  <c r="Q18" i="1"/>
  <c r="J18" i="3" s="1"/>
  <c r="W18" i="3" s="1"/>
  <c r="Q193" i="1"/>
  <c r="J193" i="3" s="1"/>
  <c r="W193" i="3" s="1"/>
  <c r="Q17" i="1"/>
  <c r="J17" i="3" s="1"/>
  <c r="W17" i="3" s="1"/>
  <c r="Q16" i="1"/>
  <c r="J16" i="3" s="1"/>
  <c r="W16" i="3" s="1"/>
  <c r="Q13" i="1"/>
  <c r="J13" i="3" s="1"/>
  <c r="W13" i="3" s="1"/>
  <c r="Q10" i="1"/>
  <c r="J10" i="3" s="1"/>
  <c r="W10" i="3" s="1"/>
  <c r="Q8" i="1"/>
  <c r="J8" i="3" s="1"/>
  <c r="W8" i="3" s="1"/>
  <c r="Q7" i="1"/>
  <c r="J7" i="3" s="1"/>
  <c r="W7" i="3" s="1"/>
  <c r="Q198" i="1"/>
  <c r="J198" i="3" s="1"/>
  <c r="W198" i="3" s="1"/>
  <c r="Q195" i="1"/>
  <c r="J195" i="3" s="1"/>
  <c r="W195" i="3" s="1"/>
  <c r="J106" i="3" l="1"/>
  <c r="W106" i="3" s="1"/>
  <c r="J124" i="3"/>
  <c r="W124" i="3" s="1"/>
  <c r="J155" i="3"/>
  <c r="W155" i="3" s="1"/>
  <c r="J42" i="3"/>
  <c r="W42" i="3" s="1"/>
  <c r="J178" i="3"/>
  <c r="W178" i="3" s="1"/>
  <c r="J167" i="3"/>
  <c r="W167" i="3" s="1"/>
  <c r="J156" i="3"/>
  <c r="W156" i="3" s="1"/>
  <c r="J130" i="3"/>
  <c r="W130" i="3" s="1"/>
  <c r="J128" i="3"/>
  <c r="W128" i="3" s="1"/>
  <c r="J125" i="3"/>
  <c r="W125" i="3" s="1"/>
  <c r="J188" i="3"/>
  <c r="W188" i="3" s="1"/>
  <c r="J118" i="3"/>
  <c r="W118" i="3" s="1"/>
  <c r="J109" i="3"/>
  <c r="W109" i="3" s="1"/>
  <c r="J104" i="3"/>
  <c r="W104" i="3" s="1"/>
  <c r="J88" i="3"/>
  <c r="W88" i="3" s="1"/>
  <c r="J86" i="3"/>
  <c r="W86" i="3" s="1"/>
  <c r="J81" i="3"/>
  <c r="W81" i="3" s="1"/>
  <c r="J80" i="3"/>
  <c r="W80" i="3" s="1"/>
  <c r="J57" i="3"/>
  <c r="W57" i="3" s="1"/>
  <c r="J55" i="3"/>
  <c r="W55" i="3" s="1"/>
  <c r="J50" i="3"/>
  <c r="W50" i="3" s="1"/>
  <c r="J44" i="3"/>
  <c r="W44" i="3" s="1"/>
  <c r="J39" i="3"/>
  <c r="W39" i="3" s="1"/>
  <c r="J37" i="3"/>
  <c r="W37" i="3" s="1"/>
  <c r="J35" i="3"/>
  <c r="W35" i="3" s="1"/>
  <c r="J200" i="3"/>
  <c r="W200" i="3" s="1"/>
  <c r="J199" i="3"/>
  <c r="W199" i="3" s="1"/>
  <c r="J29" i="3"/>
  <c r="W29" i="3" s="1"/>
  <c r="J27" i="3"/>
  <c r="W27" i="3" s="1"/>
  <c r="J197" i="3"/>
  <c r="W197" i="3" s="1"/>
  <c r="J196" i="3"/>
  <c r="W196" i="3" s="1"/>
  <c r="J22" i="3"/>
  <c r="W22" i="3" s="1"/>
  <c r="J20" i="3"/>
  <c r="W20" i="3" s="1"/>
  <c r="J12" i="3"/>
  <c r="W12" i="3" s="1"/>
  <c r="J11" i="3"/>
  <c r="W11" i="3" s="1"/>
  <c r="J137" i="3"/>
  <c r="W137" i="3" s="1"/>
  <c r="J183" i="3"/>
  <c r="W183" i="3" s="1"/>
  <c r="J164" i="3"/>
  <c r="W164" i="3" s="1"/>
  <c r="J202" i="3"/>
  <c r="W202" i="3" s="1"/>
  <c r="J153" i="3"/>
  <c r="W153" i="3" s="1"/>
  <c r="J141" i="3"/>
  <c r="W141" i="3" s="1"/>
  <c r="J131" i="3"/>
  <c r="W131" i="3" s="1"/>
  <c r="J129" i="3"/>
  <c r="W129" i="3" s="1"/>
  <c r="J127" i="3"/>
  <c r="W127" i="3" s="1"/>
  <c r="J123" i="3"/>
  <c r="W123" i="3" s="1"/>
  <c r="J121" i="3"/>
  <c r="W121" i="3" s="1"/>
  <c r="J119" i="3"/>
  <c r="W119" i="3" s="1"/>
  <c r="J186" i="3"/>
  <c r="W186" i="3" s="1"/>
  <c r="J110" i="3"/>
  <c r="W110" i="3" s="1"/>
  <c r="J108" i="3"/>
  <c r="W108" i="3" s="1"/>
  <c r="AK108" i="3" s="1"/>
  <c r="J92" i="3"/>
  <c r="W92" i="3" s="1"/>
  <c r="J87" i="3"/>
  <c r="W87" i="3" s="1"/>
  <c r="J206" i="3"/>
  <c r="W206" i="3" s="1"/>
  <c r="J205" i="3"/>
  <c r="W205" i="3" s="1"/>
  <c r="J54" i="3"/>
  <c r="W54" i="3" s="1"/>
  <c r="J203" i="3"/>
  <c r="W203" i="3" s="1"/>
  <c r="J38" i="3"/>
  <c r="W38" i="3" s="1"/>
  <c r="J36" i="3"/>
  <c r="W36" i="3" s="1"/>
  <c r="J33" i="3"/>
  <c r="W33" i="3" s="1"/>
  <c r="J30" i="3"/>
  <c r="W30" i="3" s="1"/>
  <c r="J28" i="3"/>
  <c r="W28" i="3" s="1"/>
  <c r="J26" i="3"/>
  <c r="W26" i="3" s="1"/>
  <c r="J25" i="3"/>
  <c r="W25" i="3" s="1"/>
  <c r="J24" i="3"/>
  <c r="W24" i="3" s="1"/>
  <c r="AK24" i="3" s="1"/>
  <c r="J21" i="3"/>
  <c r="W21" i="3" s="1"/>
  <c r="J15" i="3"/>
  <c r="W15" i="3" s="1"/>
  <c r="J14" i="3"/>
  <c r="W14" i="3" s="1"/>
  <c r="J207" i="3"/>
  <c r="W207" i="3" s="1"/>
  <c r="J9" i="3"/>
  <c r="W9" i="3" s="1"/>
  <c r="J5" i="3"/>
  <c r="W5" i="3" s="1"/>
  <c r="AK198" i="3"/>
  <c r="AK8" i="3"/>
  <c r="AK13" i="3"/>
  <c r="AK17" i="3"/>
  <c r="AK18" i="3"/>
  <c r="AK23" i="3"/>
  <c r="AK53" i="3"/>
  <c r="AK95" i="3"/>
  <c r="AK106" i="3"/>
  <c r="AK111" i="3"/>
  <c r="AK113" i="3"/>
  <c r="AK120" i="3"/>
  <c r="AK124" i="3"/>
  <c r="AK132" i="3"/>
  <c r="AK142" i="3"/>
  <c r="AK155" i="3"/>
  <c r="AK159" i="3"/>
  <c r="AK163" i="3"/>
  <c r="AK182" i="3"/>
  <c r="AK42" i="3"/>
  <c r="AK3" i="3"/>
  <c r="AK181" i="3"/>
  <c r="AK180" i="3"/>
  <c r="AK178" i="3"/>
  <c r="AK176" i="3"/>
  <c r="AK174" i="3"/>
  <c r="AK172" i="3"/>
  <c r="AK170" i="3"/>
  <c r="AK167" i="3"/>
  <c r="AK165" i="3"/>
  <c r="AK161" i="3"/>
  <c r="AK156" i="3"/>
  <c r="AK154" i="3"/>
  <c r="AK152" i="3"/>
  <c r="AK149" i="3"/>
  <c r="AK147" i="3"/>
  <c r="AK145" i="3"/>
  <c r="AK202" i="3"/>
  <c r="AK144" i="3"/>
  <c r="AK140" i="3"/>
  <c r="AK138" i="3"/>
  <c r="AK135" i="3"/>
  <c r="AK133" i="3"/>
  <c r="AK130" i="3"/>
  <c r="AK128" i="3"/>
  <c r="AK125" i="3"/>
  <c r="AK188" i="3"/>
  <c r="AK187" i="3"/>
  <c r="AK118" i="3"/>
  <c r="AK117" i="3"/>
  <c r="AK115" i="3"/>
  <c r="AK109" i="3"/>
  <c r="AK184" i="3"/>
  <c r="AK104" i="3"/>
  <c r="AK102" i="3"/>
  <c r="AK100" i="3"/>
  <c r="AK98" i="3"/>
  <c r="AK96" i="3"/>
  <c r="AK93" i="3"/>
  <c r="AK90" i="3"/>
  <c r="AK88" i="3"/>
  <c r="AK86" i="3"/>
  <c r="AK84" i="3"/>
  <c r="AK82" i="3"/>
  <c r="AK81" i="3"/>
  <c r="AK80" i="3"/>
  <c r="AK204" i="3"/>
  <c r="AK77" i="3"/>
  <c r="AK75" i="3"/>
  <c r="AK73" i="3"/>
  <c r="AK71" i="3"/>
  <c r="AK69" i="3"/>
  <c r="AK65" i="3"/>
  <c r="AK63" i="3"/>
  <c r="AK61" i="3"/>
  <c r="AK59" i="3"/>
  <c r="AK57" i="3"/>
  <c r="AK55" i="3"/>
  <c r="AK52" i="3"/>
  <c r="AK50" i="3"/>
  <c r="AK48" i="3"/>
  <c r="AK46" i="3"/>
  <c r="AK44" i="3"/>
  <c r="AK39" i="3"/>
  <c r="AK37" i="3"/>
  <c r="AK35" i="3"/>
  <c r="AK200" i="3"/>
  <c r="AK199" i="3"/>
  <c r="AK31" i="3"/>
  <c r="AK29" i="3"/>
  <c r="AK27" i="3"/>
  <c r="AK197" i="3"/>
  <c r="AK196" i="3"/>
  <c r="AK22" i="3"/>
  <c r="AK20" i="3"/>
  <c r="AK189" i="3"/>
  <c r="AK12" i="3"/>
  <c r="AK11" i="3"/>
  <c r="AK6" i="3"/>
  <c r="AK195" i="3"/>
  <c r="AK7" i="3"/>
  <c r="AK10" i="3"/>
  <c r="AK16" i="3"/>
  <c r="AK193" i="3"/>
  <c r="AK19" i="3"/>
  <c r="AK40" i="3"/>
  <c r="AK91" i="3"/>
  <c r="AK105" i="3"/>
  <c r="AK185" i="3"/>
  <c r="AK112" i="3"/>
  <c r="AK114" i="3"/>
  <c r="AK122" i="3"/>
  <c r="AK126" i="3"/>
  <c r="AK137" i="3"/>
  <c r="AK151" i="3"/>
  <c r="AK157" i="3"/>
  <c r="AK4" i="3"/>
  <c r="AK41" i="3"/>
  <c r="AK43" i="3"/>
  <c r="AK183" i="3"/>
  <c r="AK194" i="3"/>
  <c r="AK179" i="3"/>
  <c r="AK177" i="3"/>
  <c r="AK175" i="3"/>
  <c r="AK173" i="3"/>
  <c r="AK171" i="3"/>
  <c r="AK169" i="3"/>
  <c r="AK166" i="3"/>
  <c r="AK164" i="3"/>
  <c r="AK158" i="3"/>
  <c r="AK192" i="3"/>
  <c r="AK153" i="3"/>
  <c r="AK150" i="3"/>
  <c r="AK148" i="3"/>
  <c r="AK146" i="3"/>
  <c r="AK191" i="3"/>
  <c r="AK143" i="3"/>
  <c r="AK141" i="3"/>
  <c r="AK139" i="3"/>
  <c r="AK136" i="3"/>
  <c r="AK134" i="3"/>
  <c r="AK131" i="3"/>
  <c r="AK129" i="3"/>
  <c r="AK127" i="3"/>
  <c r="AK123" i="3"/>
  <c r="AK121" i="3"/>
  <c r="AK119" i="3"/>
  <c r="AK186" i="3"/>
  <c r="AK116" i="3"/>
  <c r="AK110" i="3"/>
  <c r="AK103" i="3"/>
  <c r="AK101" i="3"/>
  <c r="AK99" i="3"/>
  <c r="AK97" i="3"/>
  <c r="AK94" i="3"/>
  <c r="AK92" i="3"/>
  <c r="AK89" i="3"/>
  <c r="AK87" i="3"/>
  <c r="AK85" i="3"/>
  <c r="AK83" i="3"/>
  <c r="AK206" i="3"/>
  <c r="AK205" i="3"/>
  <c r="AK79" i="3"/>
  <c r="AK78" i="3"/>
  <c r="AK76" i="3"/>
  <c r="AK74" i="3"/>
  <c r="AK72" i="3"/>
  <c r="AK70" i="3"/>
  <c r="AK68" i="3"/>
  <c r="AK66" i="3"/>
  <c r="AK64" i="3"/>
  <c r="AK62" i="3"/>
  <c r="AK60" i="3"/>
  <c r="AK58" i="3"/>
  <c r="AK56" i="3"/>
  <c r="AK54" i="3"/>
  <c r="AK51" i="3"/>
  <c r="AK49" i="3"/>
  <c r="AK47" i="3"/>
  <c r="AK45" i="3"/>
  <c r="AK203" i="3"/>
  <c r="AK38" i="3"/>
  <c r="AK36" i="3"/>
  <c r="AK34" i="3"/>
  <c r="AK33" i="3"/>
  <c r="AK32" i="3"/>
  <c r="AK30" i="3"/>
  <c r="AK28" i="3"/>
  <c r="AK26" i="3"/>
  <c r="AK25" i="3"/>
  <c r="AK21" i="3"/>
  <c r="AK15" i="3"/>
  <c r="AK14" i="3"/>
  <c r="AK207" i="3"/>
  <c r="AK9" i="3"/>
  <c r="AK5" i="3"/>
  <c r="AE201" i="1"/>
  <c r="AK201" i="3"/>
  <c r="AE162" i="1"/>
  <c r="AK162" i="3"/>
  <c r="AE168" i="1"/>
  <c r="AK168" i="3"/>
  <c r="AE107" i="1"/>
  <c r="AE103" i="1"/>
  <c r="AE15" i="1"/>
  <c r="AE198" i="1"/>
  <c r="AE8" i="1"/>
  <c r="AE18" i="1"/>
  <c r="AE23" i="1"/>
  <c r="AE53" i="1"/>
  <c r="AE106" i="1"/>
  <c r="AE111" i="1"/>
  <c r="AE120" i="1"/>
  <c r="AE155" i="1"/>
  <c r="AE29" i="1"/>
  <c r="AE196" i="1"/>
  <c r="AE13" i="1"/>
  <c r="AE17" i="1"/>
  <c r="I160" i="1"/>
  <c r="Q160" i="1" s="1"/>
  <c r="J160" i="3" s="1"/>
  <c r="W160" i="3" s="1"/>
  <c r="AE195" i="1"/>
  <c r="AE10" i="1"/>
  <c r="AE16" i="1"/>
  <c r="AE19" i="1"/>
  <c r="AE112" i="1"/>
  <c r="AE114" i="1"/>
  <c r="AE137" i="1"/>
  <c r="AE151" i="1"/>
  <c r="AE182" i="1"/>
  <c r="AE123" i="1"/>
  <c r="AE21" i="1"/>
  <c r="Q208" i="1"/>
  <c r="AE95" i="1"/>
  <c r="AE113" i="1"/>
  <c r="AE124" i="1"/>
  <c r="AE132" i="1"/>
  <c r="AE142" i="1"/>
  <c r="AE159" i="1"/>
  <c r="AE7" i="1"/>
  <c r="AE193" i="1"/>
  <c r="AE40" i="1"/>
  <c r="AE91" i="1"/>
  <c r="AE105" i="1"/>
  <c r="AE185" i="1"/>
  <c r="AE122" i="1"/>
  <c r="AE126" i="1"/>
  <c r="AE157" i="1"/>
  <c r="AE163" i="1"/>
  <c r="AE4" i="1"/>
  <c r="AE165" i="1"/>
  <c r="AE44" i="1"/>
  <c r="AE183" i="1"/>
  <c r="AE181" i="1"/>
  <c r="AE180" i="1"/>
  <c r="AE178" i="1"/>
  <c r="AE176" i="1"/>
  <c r="AE174" i="1"/>
  <c r="AE172" i="1"/>
  <c r="AE171" i="1"/>
  <c r="AE169" i="1"/>
  <c r="AE167" i="1"/>
  <c r="AE161" i="1"/>
  <c r="AE192" i="1"/>
  <c r="AE154" i="1"/>
  <c r="AE152" i="1"/>
  <c r="AE150" i="1"/>
  <c r="AE148" i="1"/>
  <c r="AE146" i="1"/>
  <c r="AE191" i="1"/>
  <c r="AE143" i="1"/>
  <c r="AE140" i="1"/>
  <c r="AE138" i="1"/>
  <c r="AE136" i="1"/>
  <c r="AE134" i="1"/>
  <c r="AE130" i="1"/>
  <c r="AE128" i="1"/>
  <c r="AE121" i="1"/>
  <c r="AE187" i="1"/>
  <c r="AE118" i="1"/>
  <c r="AE117" i="1"/>
  <c r="AE115" i="1"/>
  <c r="AE110" i="1"/>
  <c r="AE108" i="1"/>
  <c r="AE101" i="1"/>
  <c r="AE99" i="1"/>
  <c r="AE97" i="1"/>
  <c r="AE93" i="1"/>
  <c r="AE89" i="1"/>
  <c r="AE87" i="1"/>
  <c r="AE85" i="1"/>
  <c r="AE83" i="1"/>
  <c r="AE206" i="1"/>
  <c r="AE205" i="1"/>
  <c r="AE79" i="1"/>
  <c r="AE78" i="1"/>
  <c r="AE76" i="1"/>
  <c r="AE74" i="1"/>
  <c r="AE72" i="1"/>
  <c r="AE70" i="1"/>
  <c r="AE68" i="1"/>
  <c r="AE66" i="1"/>
  <c r="AE64" i="1"/>
  <c r="AE62" i="1"/>
  <c r="AE60" i="1"/>
  <c r="AE58" i="1"/>
  <c r="AE56" i="1"/>
  <c r="AE54" i="1"/>
  <c r="AE52" i="1"/>
  <c r="AE50" i="1"/>
  <c r="AE48" i="1"/>
  <c r="AE46" i="1"/>
  <c r="AE203" i="1"/>
  <c r="AE38" i="1"/>
  <c r="AE36" i="1"/>
  <c r="AE34" i="1"/>
  <c r="AE33" i="1"/>
  <c r="AE32" i="1"/>
  <c r="AE30" i="1"/>
  <c r="AE28" i="1"/>
  <c r="AE26" i="1"/>
  <c r="AE25" i="1"/>
  <c r="AE24" i="1"/>
  <c r="AE22" i="1"/>
  <c r="AE20" i="1"/>
  <c r="AE14" i="1"/>
  <c r="AE12" i="1"/>
  <c r="AE11" i="1"/>
  <c r="AE9" i="1"/>
  <c r="AE5" i="1"/>
  <c r="AE3" i="1"/>
  <c r="AE194" i="1"/>
  <c r="AE179" i="1"/>
  <c r="AE177" i="1"/>
  <c r="AE175" i="1"/>
  <c r="AE173" i="1"/>
  <c r="AE170" i="1"/>
  <c r="AE166" i="1"/>
  <c r="AE164" i="1"/>
  <c r="AE158" i="1"/>
  <c r="AE156" i="1"/>
  <c r="AE153" i="1"/>
  <c r="AE149" i="1"/>
  <c r="AE147" i="1"/>
  <c r="AE145" i="1"/>
  <c r="AE144" i="1"/>
  <c r="AE190" i="1"/>
  <c r="AE141" i="1"/>
  <c r="AE139" i="1"/>
  <c r="AE135" i="1"/>
  <c r="AE133" i="1"/>
  <c r="AE131" i="1"/>
  <c r="AE129" i="1"/>
  <c r="AE127" i="1"/>
  <c r="AE125" i="1"/>
  <c r="AE188" i="1"/>
  <c r="AE119" i="1"/>
  <c r="AE186" i="1"/>
  <c r="AE116" i="1"/>
  <c r="AE109" i="1"/>
  <c r="AE184" i="1"/>
  <c r="AE104" i="1"/>
  <c r="AE102" i="1"/>
  <c r="AE100" i="1"/>
  <c r="AE98" i="1"/>
  <c r="AE96" i="1"/>
  <c r="AE94" i="1"/>
  <c r="AE92" i="1"/>
  <c r="AE90" i="1"/>
  <c r="AE88" i="1"/>
  <c r="AE86" i="1"/>
  <c r="AE84" i="1"/>
  <c r="AE82" i="1"/>
  <c r="AE81" i="1"/>
  <c r="AE80" i="1"/>
  <c r="AE204" i="1"/>
  <c r="AE77" i="1"/>
  <c r="AE75" i="1"/>
  <c r="AE73" i="1"/>
  <c r="AE71" i="1"/>
  <c r="AE69" i="1"/>
  <c r="AE67" i="1"/>
  <c r="AE65" i="1"/>
  <c r="AE63" i="1"/>
  <c r="AE61" i="1"/>
  <c r="AE59" i="1"/>
  <c r="AE57" i="1"/>
  <c r="AE55" i="1"/>
  <c r="AE51" i="1"/>
  <c r="AE49" i="1"/>
  <c r="AE47" i="1"/>
  <c r="AE45" i="1"/>
  <c r="AE39" i="1"/>
  <c r="AE37" i="1"/>
  <c r="AE35" i="1"/>
  <c r="AE200" i="1"/>
  <c r="AE199" i="1"/>
  <c r="AE31" i="1"/>
  <c r="AE27" i="1"/>
  <c r="AE197" i="1"/>
  <c r="AE189" i="1"/>
  <c r="AE207" i="1"/>
  <c r="AE6" i="1"/>
  <c r="AE43" i="1"/>
  <c r="AE42" i="1"/>
  <c r="AE41" i="1"/>
  <c r="AD208" i="1"/>
  <c r="J107" i="3" l="1"/>
  <c r="W107" i="3" s="1"/>
  <c r="AK107" i="3" s="1"/>
  <c r="AK190" i="3"/>
  <c r="AK67" i="3"/>
  <c r="J208" i="3"/>
  <c r="AE160" i="1"/>
  <c r="AK160" i="3"/>
  <c r="AE208" i="1"/>
  <c r="A3" i="1"/>
  <c r="A4" i="1" s="1"/>
  <c r="A5" i="1" s="1"/>
  <c r="A6" i="1" s="1"/>
  <c r="A7" i="1" s="1"/>
  <c r="W208" i="3" l="1"/>
  <c r="AK208" i="3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l="1"/>
</calcChain>
</file>

<file path=xl/comments1.xml><?xml version="1.0" encoding="utf-8"?>
<comments xmlns="http://schemas.openxmlformats.org/spreadsheetml/2006/main">
  <authors>
    <author>Автор</author>
  </authors>
  <commentList>
    <comment ref="P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 декабря 2013 года тариф 1790,23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04"/>
          </rPr>
          <t>+ Ложкина Анастасия Александровна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+ Кистяев Павел Александрович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2" authorId="0">
      <text>
        <r>
          <rPr>
            <b/>
            <sz val="9"/>
            <color indexed="81"/>
            <rFont val="Tahoma"/>
            <family val="2"/>
            <charset val="204"/>
          </rPr>
          <t>Расторжение договора с Ибраевой Ольгой Игоревной по заявлению от 27.12.13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53" authorId="0">
      <text>
        <r>
          <rPr>
            <b/>
            <sz val="9"/>
            <color indexed="81"/>
            <rFont val="Tahoma"/>
            <family val="2"/>
            <charset val="204"/>
          </rPr>
          <t>+ Непочатых Ирина Дмитриевна</t>
        </r>
      </text>
    </comment>
    <comment ref="C90" authorId="0">
      <text>
        <r>
          <rPr>
            <b/>
            <sz val="9"/>
            <color indexed="81"/>
            <rFont val="Tahoma"/>
            <family val="2"/>
            <charset val="204"/>
          </rPr>
          <t>+ Опарин Станислав Валерьевич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0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+Маслюк Анатолий Васильевич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+Христенко Мария Александровна 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0" authorId="0">
      <text>
        <r>
          <rPr>
            <b/>
            <sz val="9"/>
            <color indexed="81"/>
            <rFont val="Tahoma"/>
            <family val="2"/>
            <charset val="204"/>
          </rPr>
          <t>+ Абинякин Алексей Анатольевич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Q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 декабря 2013 года тариф 1790,23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04"/>
          </rPr>
          <t>+ Ложкина Анастасия Александровна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+ Кистяев Павел Александрович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2" authorId="0">
      <text>
        <r>
          <rPr>
            <b/>
            <sz val="9"/>
            <color indexed="81"/>
            <rFont val="Tahoma"/>
            <family val="2"/>
            <charset val="204"/>
          </rPr>
          <t>Расторжение договора с Ибраевой Ольгой Игоревной по заявлению от 27.12.13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53" authorId="0">
      <text>
        <r>
          <rPr>
            <b/>
            <sz val="9"/>
            <color indexed="81"/>
            <rFont val="Tahoma"/>
            <family val="2"/>
            <charset val="204"/>
          </rPr>
          <t>+ Непочатых Ирина Дмитриевна</t>
        </r>
      </text>
    </comment>
    <comment ref="C90" authorId="0">
      <text>
        <r>
          <rPr>
            <b/>
            <sz val="9"/>
            <color indexed="81"/>
            <rFont val="Tahoma"/>
            <family val="2"/>
            <charset val="204"/>
          </rPr>
          <t>+ Опарин Станислав Валерьевич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0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+Маслюк Анатолий Васильевич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+Христенко Мария Александровна 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0" authorId="0">
      <text>
        <r>
          <rPr>
            <b/>
            <sz val="9"/>
            <color indexed="81"/>
            <rFont val="Tahoma"/>
            <family val="2"/>
            <charset val="204"/>
          </rPr>
          <t>+ Абинякин Алексей Анатольевич</t>
        </r>
      </text>
    </comment>
  </commentList>
</comments>
</file>

<file path=xl/sharedStrings.xml><?xml version="1.0" encoding="utf-8"?>
<sst xmlns="http://schemas.openxmlformats.org/spreadsheetml/2006/main" count="565" uniqueCount="279">
  <si>
    <t>39а</t>
  </si>
  <si>
    <t>Назаркин Юрий Александрович</t>
  </si>
  <si>
    <t>2а</t>
  </si>
  <si>
    <t>9а</t>
  </si>
  <si>
    <t>12а</t>
  </si>
  <si>
    <t>16а</t>
  </si>
  <si>
    <t>22а</t>
  </si>
  <si>
    <t>23а</t>
  </si>
  <si>
    <t>30а</t>
  </si>
  <si>
    <t>31а</t>
  </si>
  <si>
    <t>105а</t>
  </si>
  <si>
    <t>109а</t>
  </si>
  <si>
    <t>153а</t>
  </si>
  <si>
    <t>142а</t>
  </si>
  <si>
    <t>140а</t>
  </si>
  <si>
    <t>79а</t>
  </si>
  <si>
    <t>Пантелеева Ирина Вячеславовна</t>
  </si>
  <si>
    <t>Гудзь Виктор Григорьевич</t>
  </si>
  <si>
    <t>004/05-2013</t>
  </si>
  <si>
    <t>Мирошниченко Ирина Анатольевна</t>
  </si>
  <si>
    <t>Кривоносов Олег Викторович</t>
  </si>
  <si>
    <t>Шевкунова Елена Юрьевна</t>
  </si>
  <si>
    <t>010/06-2013</t>
  </si>
  <si>
    <t>Метнюкова Нина Викторовна</t>
  </si>
  <si>
    <t>Федосеева Надежда Ивановна</t>
  </si>
  <si>
    <t>005/05-2013</t>
  </si>
  <si>
    <t>003/05-2013</t>
  </si>
  <si>
    <t>002/05-2013</t>
  </si>
  <si>
    <t>Богданович Николай Николаевич</t>
  </si>
  <si>
    <t>011/06-2013</t>
  </si>
  <si>
    <t>Волобуев Павел Юрьевич</t>
  </si>
  <si>
    <t>Нечаев Андрей Викторович</t>
  </si>
  <si>
    <t>Волкова Юлия Сергеевна</t>
  </si>
  <si>
    <t>Осипова Марина Ивановна</t>
  </si>
  <si>
    <t>Митюкова Наталия Юрьевна</t>
  </si>
  <si>
    <t>Арзамасцева Светлана Витальевна</t>
  </si>
  <si>
    <t>Прохорова Татьяна Михайловна</t>
  </si>
  <si>
    <t>Чернова Наталия Ивановна</t>
  </si>
  <si>
    <t>Котикова Татьяна Валерьевна</t>
  </si>
  <si>
    <t>Артемов Владимир Григорьевич</t>
  </si>
  <si>
    <t>Игнашкина Мария Александровна</t>
  </si>
  <si>
    <t>Бирюкова Светлана Андреевна</t>
  </si>
  <si>
    <t>Шашкин Юрий Львович</t>
  </si>
  <si>
    <t>Новичкова Светлана Генриховна</t>
  </si>
  <si>
    <t>Гришина Юлия Николаевна</t>
  </si>
  <si>
    <t>Казымова Эльнара Бахрамовна</t>
  </si>
  <si>
    <t>012-06/2013</t>
  </si>
  <si>
    <t>Сошенко Владислав Васильевич</t>
  </si>
  <si>
    <t>013/06-2013</t>
  </si>
  <si>
    <t>Рачек Илона Витальевна и Лариса Ивановна</t>
  </si>
  <si>
    <t>Якубов Александр Фаисович</t>
  </si>
  <si>
    <t>014/06-2013</t>
  </si>
  <si>
    <t>015/06-2013</t>
  </si>
  <si>
    <t>016/06-2013</t>
  </si>
  <si>
    <t>017/06-2013</t>
  </si>
  <si>
    <t>018/06-2013</t>
  </si>
  <si>
    <t>019/06-2013</t>
  </si>
  <si>
    <t>020/06-2013</t>
  </si>
  <si>
    <t>021/06-2013</t>
  </si>
  <si>
    <t>022/06-2013</t>
  </si>
  <si>
    <t>023/06-2013</t>
  </si>
  <si>
    <t>024/06-2013</t>
  </si>
  <si>
    <t>025/06-2013</t>
  </si>
  <si>
    <t>026/06-2013</t>
  </si>
  <si>
    <t>027/06-2013</t>
  </si>
  <si>
    <t>028/06-2013</t>
  </si>
  <si>
    <t>029/06-2013</t>
  </si>
  <si>
    <t>030/06-2013</t>
  </si>
  <si>
    <t>031/06-2013</t>
  </si>
  <si>
    <t>Трушина Надежда Георгиевна</t>
  </si>
  <si>
    <t>032/06-2013</t>
  </si>
  <si>
    <t>1а</t>
  </si>
  <si>
    <t>Кузьмичева Елена Валерьевна</t>
  </si>
  <si>
    <t>033/06-2013</t>
  </si>
  <si>
    <t>034/06-2013</t>
  </si>
  <si>
    <t>Терентьев Сергей Петрович</t>
  </si>
  <si>
    <t>035/06-2013</t>
  </si>
  <si>
    <t>№ уч.</t>
  </si>
  <si>
    <t>Номер дог.</t>
  </si>
  <si>
    <t>Дата дог.</t>
  </si>
  <si>
    <t>Итого в 2013</t>
  </si>
  <si>
    <t>Итого в 2014</t>
  </si>
  <si>
    <t>039/06-2013</t>
  </si>
  <si>
    <t>Парамонова Светлана Николаевна</t>
  </si>
  <si>
    <t>ИТОГО</t>
  </si>
  <si>
    <t>Назаренков Александр Николаевич</t>
  </si>
  <si>
    <t>Дрезгунова Анастасия Викторовна</t>
  </si>
  <si>
    <t>Берлизова Екатерина Юрьевна</t>
  </si>
  <si>
    <t>Байкова Надежда Владиславовна</t>
  </si>
  <si>
    <t>Круглова Елена Викторовна</t>
  </si>
  <si>
    <t>044/07-2013</t>
  </si>
  <si>
    <t>043/07-2013</t>
  </si>
  <si>
    <t>048/07-2013</t>
  </si>
  <si>
    <t>037/06-2013</t>
  </si>
  <si>
    <t>Лифанов Александр Александрович</t>
  </si>
  <si>
    <t>Куранова Анастасия Сергеевна</t>
  </si>
  <si>
    <t>Новикова Елена Викторовна</t>
  </si>
  <si>
    <t>Логуновская Лариса Викторовна</t>
  </si>
  <si>
    <t>Фролова Любовь Николаевна</t>
  </si>
  <si>
    <t>Ефимова Лариса Александровна</t>
  </si>
  <si>
    <t>Кол-во мес. в 2013г</t>
  </si>
  <si>
    <t>Платежи, план 2013</t>
  </si>
  <si>
    <t>Месяц начала исп-я</t>
  </si>
  <si>
    <t>Кузнецова Ольга Николаевна</t>
  </si>
  <si>
    <t>Третьяк Юлия Михайловна</t>
  </si>
  <si>
    <t>40а</t>
  </si>
  <si>
    <t>Алексеева Галина Митрофановна</t>
  </si>
  <si>
    <t>Завалов Александр Александрович</t>
  </si>
  <si>
    <t>Новиков Радион Андреевич</t>
  </si>
  <si>
    <t>76а</t>
  </si>
  <si>
    <t>78а</t>
  </si>
  <si>
    <t>Орлова Анна Сергеевна</t>
  </si>
  <si>
    <t>Внуков Сергей Юрьевич</t>
  </si>
  <si>
    <t>Гнилицкий Максим Витальевич</t>
  </si>
  <si>
    <t>Зудилов Артур Владимирович</t>
  </si>
  <si>
    <t>Царан Наталья Юрьевна</t>
  </si>
  <si>
    <t>Лукьянец Ольга Александровна</t>
  </si>
  <si>
    <t>Олексеенко Светлана Николаевна</t>
  </si>
  <si>
    <t>Померанцев Святослав игоревич</t>
  </si>
  <si>
    <t>Карпов Игорь Николаевич</t>
  </si>
  <si>
    <t>115а</t>
  </si>
  <si>
    <t>Ваганова Любовь Михайловна</t>
  </si>
  <si>
    <t>Силкина Валентина Николаевна</t>
  </si>
  <si>
    <t>117а</t>
  </si>
  <si>
    <t>Журавлев Николай Васильевич</t>
  </si>
  <si>
    <t>119а</t>
  </si>
  <si>
    <t>Иванников Иван Васильевич</t>
  </si>
  <si>
    <t>Гордиенко Людмила Борисовна</t>
  </si>
  <si>
    <t>Михайлова Елена Александровна</t>
  </si>
  <si>
    <t>Демина Наталья Сергеевна</t>
  </si>
  <si>
    <t>Богданович Константин Николаевич</t>
  </si>
  <si>
    <t>Петров Сергей Михайлович</t>
  </si>
  <si>
    <t>Богданович Николай  Николаевич</t>
  </si>
  <si>
    <t>Барабанова Наталья Алексеевна</t>
  </si>
  <si>
    <t>Шендарова Людмила Николаевна</t>
  </si>
  <si>
    <t>Мошенец Татьяна Мироновна</t>
  </si>
  <si>
    <t>Лаврентьев Игорь Михайлович</t>
  </si>
  <si>
    <t>Рулева Ирина Юрьевна</t>
  </si>
  <si>
    <t>Шереметьев Махаил Викторович</t>
  </si>
  <si>
    <t>Шахомиров Александр Алексеевич</t>
  </si>
  <si>
    <t>Воронова Ольга Андреевна</t>
  </si>
  <si>
    <t>Ишова Лидия Ивановна</t>
  </si>
  <si>
    <t>Шукевич Олег Иванович</t>
  </si>
  <si>
    <t>Колесникова ольга Викторовна</t>
  </si>
  <si>
    <t>178а</t>
  </si>
  <si>
    <t>Борозна Марина Викторовна</t>
  </si>
  <si>
    <t>Селезова Элла Юрьевна</t>
  </si>
  <si>
    <t>Петкова Мария Савельевна</t>
  </si>
  <si>
    <t>Жилкин Александр Викторович</t>
  </si>
  <si>
    <t>Пузько Людмила Александровна</t>
  </si>
  <si>
    <t>Агуреев Александр Николаевич</t>
  </si>
  <si>
    <t>Вдовыченко Нина Алексеевна</t>
  </si>
  <si>
    <t>Фомичева Ольга Игоревна</t>
  </si>
  <si>
    <t>Орлова Светлана Витальевна</t>
  </si>
  <si>
    <t>Гончарова Марина Вячеславовна</t>
  </si>
  <si>
    <t>Гладкова Татьяна Сергеевна</t>
  </si>
  <si>
    <t>Овчаренко Игорь Александрович</t>
  </si>
  <si>
    <t>Никкель Марина Николаевна</t>
  </si>
  <si>
    <t>Клокова Татьяна Евгеньевна</t>
  </si>
  <si>
    <t>Керимова Галина Николаевна</t>
  </si>
  <si>
    <t>Тулупов Михаил Михайлович</t>
  </si>
  <si>
    <t>052/07-2013</t>
  </si>
  <si>
    <t>Ягудина Галия Равильевна</t>
  </si>
  <si>
    <t>040/06-2013</t>
  </si>
  <si>
    <t>Сахаров Сергей Александрович</t>
  </si>
  <si>
    <t>071/09-2013</t>
  </si>
  <si>
    <t>069/08-2013</t>
  </si>
  <si>
    <t>061/08-2013</t>
  </si>
  <si>
    <t>050/07-2013</t>
  </si>
  <si>
    <t>062/08-2013</t>
  </si>
  <si>
    <t>046/07-2013</t>
  </si>
  <si>
    <t>070/08-2013</t>
  </si>
  <si>
    <t>045/07-2013</t>
  </si>
  <si>
    <t>063/08-2013</t>
  </si>
  <si>
    <t>001/05-13</t>
  </si>
  <si>
    <t>068/08-2013</t>
  </si>
  <si>
    <t>047/07-2013</t>
  </si>
  <si>
    <t>067/08-2013</t>
  </si>
  <si>
    <t>041/06-2013</t>
  </si>
  <si>
    <t>038/06-2013</t>
  </si>
  <si>
    <t>049/07-2013</t>
  </si>
  <si>
    <t>007/06-13</t>
  </si>
  <si>
    <t>054/07-2013</t>
  </si>
  <si>
    <t>053/07-2013</t>
  </si>
  <si>
    <t>065/08-2013</t>
  </si>
  <si>
    <t>009/06-13</t>
  </si>
  <si>
    <t>008/06-13</t>
  </si>
  <si>
    <t>056/07-2013</t>
  </si>
  <si>
    <t>036/06-2013</t>
  </si>
  <si>
    <t>064/08-2013</t>
  </si>
  <si>
    <t>055/07-2013</t>
  </si>
  <si>
    <t>066/08-2013</t>
  </si>
  <si>
    <t>058/07-2013</t>
  </si>
  <si>
    <t>Столповский Е. В.</t>
  </si>
  <si>
    <t>075/10-2013</t>
  </si>
  <si>
    <t>059/07-2013</t>
  </si>
  <si>
    <t>057/07-2013</t>
  </si>
  <si>
    <t>077/10-2013</t>
  </si>
  <si>
    <t>Герасимов Павел Валерьевич</t>
  </si>
  <si>
    <t>Гурьянова Наталия Ивановна</t>
  </si>
  <si>
    <t>Непочатых Дмитрий Дмитриевич</t>
  </si>
  <si>
    <t>Ложкина Екатерина Александровна</t>
  </si>
  <si>
    <t>Абинякин Максим Анатольевич</t>
  </si>
  <si>
    <t>Оплаченный период</t>
  </si>
  <si>
    <t>Не подлежит оплате</t>
  </si>
  <si>
    <t>Оригинал договора в наличии</t>
  </si>
  <si>
    <t>042/07-2013</t>
  </si>
  <si>
    <t>Волков Владимир Иванович</t>
  </si>
  <si>
    <t>Гудзь Дмитрий Сергеевич</t>
  </si>
  <si>
    <t>Колескин Сергей Анатольевич</t>
  </si>
  <si>
    <t>Тихомирова Светлана Александровна</t>
  </si>
  <si>
    <t>006/06-2013</t>
  </si>
  <si>
    <t>Макаров Михаил Александрович</t>
  </si>
  <si>
    <t>Кистяева Екатерина Алексеевна</t>
  </si>
  <si>
    <t>Елизаров Михаил Владимирович</t>
  </si>
  <si>
    <t>Еркин Александр Михайлович</t>
  </si>
  <si>
    <t>Стрелин Александр Иванович</t>
  </si>
  <si>
    <t>Плужников Константин Геннадьевич</t>
  </si>
  <si>
    <t>Бирюков Юрий Витальевич</t>
  </si>
  <si>
    <t>Койфман Ксения Александровна</t>
  </si>
  <si>
    <t>Френкель Александр Владимирович</t>
  </si>
  <si>
    <t>Клепикова Елена Викторовна</t>
  </si>
  <si>
    <t>Еременко Александр Анатольевич</t>
  </si>
  <si>
    <t>Тепикин Сергей Васильевич</t>
  </si>
  <si>
    <t>Объедкова Оксана Анатольевна</t>
  </si>
  <si>
    <t>Певнева Анна Михайловна</t>
  </si>
  <si>
    <t>Жуков Александр Римович</t>
  </si>
  <si>
    <t>Нуждина Светлана Александровна</t>
  </si>
  <si>
    <t>Маркозян Александр Альбертович</t>
  </si>
  <si>
    <t>Лустова Прасковья Николаевна</t>
  </si>
  <si>
    <t>3а</t>
  </si>
  <si>
    <t>Ходжаев Ботур Султанович</t>
  </si>
  <si>
    <t>112/10-2013</t>
  </si>
  <si>
    <t>Петропавловская Олеся Валерьевна</t>
  </si>
  <si>
    <t>138/11-2013</t>
  </si>
  <si>
    <t>134/10-2013</t>
  </si>
  <si>
    <t>078/10-2013</t>
  </si>
  <si>
    <t>074/09-2013</t>
  </si>
  <si>
    <t>072/09-2013</t>
  </si>
  <si>
    <t>Мизрах Илья Львович</t>
  </si>
  <si>
    <t>115/10-2013</t>
  </si>
  <si>
    <t>117/10-2013</t>
  </si>
  <si>
    <t>108/10-2013</t>
  </si>
  <si>
    <t>116/10-2013</t>
  </si>
  <si>
    <t>Прохоров Олег Владимирович</t>
  </si>
  <si>
    <t>Марчук Галина Игоревна</t>
  </si>
  <si>
    <t>Горбунова Алла Владимировна</t>
  </si>
  <si>
    <t>Чумаков Евгений Степанович</t>
  </si>
  <si>
    <t>090/10-2013</t>
  </si>
  <si>
    <t>106/10-2013</t>
  </si>
  <si>
    <t>089/10-2013</t>
  </si>
  <si>
    <t>081/10-2013</t>
  </si>
  <si>
    <t>104/10-2013</t>
  </si>
  <si>
    <t>080/10-2013</t>
  </si>
  <si>
    <t>079/10-2013</t>
  </si>
  <si>
    <t>141/11-2013</t>
  </si>
  <si>
    <t>142/11-2013</t>
  </si>
  <si>
    <t>140/11-2013</t>
  </si>
  <si>
    <t>136/10-2013</t>
  </si>
  <si>
    <t>120/10-2013</t>
  </si>
  <si>
    <t>Ф.И.О.                                                                                по 1 490,23 руб. ежемесячно,                                             с декабря плата: 1 790,23 руб.</t>
  </si>
  <si>
    <t>Белышкова Анна Владимировна</t>
  </si>
  <si>
    <t>087/10-2013</t>
  </si>
  <si>
    <t>091/10-2013</t>
  </si>
  <si>
    <t>105/10-2013</t>
  </si>
  <si>
    <t>111/10-2013</t>
  </si>
  <si>
    <t>118/10-2013</t>
  </si>
  <si>
    <t>119/10-2013</t>
  </si>
  <si>
    <t>Ртищев М. А.</t>
  </si>
  <si>
    <t>Ф.И.О.                                                                                ежемесячно плата: 1 790,23 руб.</t>
  </si>
  <si>
    <t>Кол-во мес. в 2014г</t>
  </si>
  <si>
    <t>Платежи, план 2014</t>
  </si>
  <si>
    <t>Шиков Роман Сергеевич</t>
  </si>
  <si>
    <t>Сальдо на начало года</t>
  </si>
  <si>
    <t>Афанасьев Александр Владимирович</t>
  </si>
  <si>
    <t>Гудков Александр Сергеевич</t>
  </si>
  <si>
    <t>Слюсаренко Дмитрий Владимирович</t>
  </si>
  <si>
    <t>Молчанова Александра Михайловна</t>
  </si>
  <si>
    <t>Урядов Юрий 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</si>
</sst>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sz val="9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9" fillId="0" borderId="0"/>
  </cellStyleXfs>
  <cellXfs count="169">
    <xf numFmtId="0" fontId="0" fillId="0" borderId="0" xfId="0"/>
    <xf numFmtId="0" fontId="12" fillId="2" borderId="0" xfId="0" applyFont="1" applyFill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horizontal="center"/>
    </xf>
    <xf numFmtId="0" fontId="14" fillId="2" borderId="0" xfId="0" applyNumberFormat="1" applyFont="1" applyFill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2" fillId="4" borderId="1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vertical="center" wrapText="1"/>
    </xf>
    <xf numFmtId="0" fontId="17" fillId="5" borderId="4" xfId="0" applyNumberFormat="1" applyFont="1" applyFill="1" applyBorder="1" applyAlignment="1">
      <alignment horizontal="center" vertical="center" wrapText="1"/>
    </xf>
    <xf numFmtId="164" fontId="17" fillId="5" borderId="4" xfId="0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/>
    </xf>
    <xf numFmtId="4" fontId="12" fillId="2" borderId="9" xfId="0" applyNumberFormat="1" applyFont="1" applyFill="1" applyBorder="1" applyAlignment="1">
      <alignment horizontal="center"/>
    </xf>
    <xf numFmtId="4" fontId="12" fillId="7" borderId="9" xfId="0" applyNumberFormat="1" applyFont="1" applyFill="1" applyBorder="1" applyAlignment="1">
      <alignment horizontal="center"/>
    </xf>
    <xf numFmtId="4" fontId="12" fillId="2" borderId="10" xfId="0" applyNumberFormat="1" applyFont="1" applyFill="1" applyBorder="1" applyAlignment="1">
      <alignment horizontal="center"/>
    </xf>
    <xf numFmtId="3" fontId="12" fillId="2" borderId="5" xfId="0" applyNumberFormat="1" applyFont="1" applyFill="1" applyBorder="1" applyAlignment="1">
      <alignment horizontal="center"/>
    </xf>
    <xf numFmtId="4" fontId="16" fillId="2" borderId="6" xfId="0" applyNumberFormat="1" applyFont="1" applyFill="1" applyBorder="1" applyAlignment="1">
      <alignment horizontal="center"/>
    </xf>
    <xf numFmtId="164" fontId="16" fillId="2" borderId="6" xfId="0" applyNumberFormat="1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/>
    </xf>
    <xf numFmtId="4" fontId="12" fillId="6" borderId="9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3" fontId="12" fillId="0" borderId="5" xfId="0" applyNumberFormat="1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horizontal="center"/>
    </xf>
    <xf numFmtId="3" fontId="12" fillId="0" borderId="5" xfId="0" applyNumberFormat="1" applyFont="1" applyFill="1" applyBorder="1" applyAlignment="1">
      <alignment horizontal="center" vertical="center"/>
    </xf>
    <xf numFmtId="164" fontId="12" fillId="4" borderId="7" xfId="0" applyNumberFormat="1" applyFont="1" applyFill="1" applyBorder="1" applyAlignment="1">
      <alignment horizontal="center" vertical="center"/>
    </xf>
    <xf numFmtId="4" fontId="23" fillId="5" borderId="13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right"/>
    </xf>
    <xf numFmtId="4" fontId="12" fillId="2" borderId="7" xfId="0" applyNumberFormat="1" applyFont="1" applyFill="1" applyBorder="1" applyAlignment="1">
      <alignment horizontal="center"/>
    </xf>
    <xf numFmtId="4" fontId="16" fillId="8" borderId="11" xfId="0" applyNumberFormat="1" applyFont="1" applyFill="1" applyBorder="1" applyAlignment="1">
      <alignment horizontal="right"/>
    </xf>
    <xf numFmtId="4" fontId="17" fillId="8" borderId="2" xfId="0" applyNumberFormat="1" applyFont="1" applyFill="1" applyBorder="1" applyAlignment="1">
      <alignment horizontal="right" vertical="center" wrapText="1"/>
    </xf>
    <xf numFmtId="4" fontId="12" fillId="7" borderId="1" xfId="0" applyNumberFormat="1" applyFont="1" applyFill="1" applyBorder="1" applyAlignment="1">
      <alignment horizontal="center"/>
    </xf>
    <xf numFmtId="4" fontId="18" fillId="6" borderId="1" xfId="0" applyNumberFormat="1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3" fontId="18" fillId="0" borderId="5" xfId="0" applyNumberFormat="1" applyFont="1" applyFill="1" applyBorder="1" applyAlignment="1">
      <alignment horizontal="center" vertical="center"/>
    </xf>
    <xf numFmtId="4" fontId="16" fillId="0" borderId="6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8" fillId="4" borderId="1" xfId="0" applyNumberFormat="1" applyFont="1" applyFill="1" applyBorder="1" applyAlignment="1">
      <alignment horizontal="center" vertical="center"/>
    </xf>
    <xf numFmtId="164" fontId="18" fillId="4" borderId="7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Alignment="1">
      <alignment horizontal="center" vertical="center"/>
    </xf>
    <xf numFmtId="4" fontId="16" fillId="2" borderId="7" xfId="0" applyNumberFormat="1" applyFont="1" applyFill="1" applyBorder="1" applyAlignment="1">
      <alignment horizontal="center"/>
    </xf>
    <xf numFmtId="4" fontId="16" fillId="2" borderId="8" xfId="0" applyNumberFormat="1" applyFont="1" applyFill="1" applyBorder="1" applyAlignment="1">
      <alignment horizontal="center"/>
    </xf>
    <xf numFmtId="4" fontId="17" fillId="5" borderId="15" xfId="0" applyNumberFormat="1" applyFont="1" applyFill="1" applyBorder="1" applyAlignment="1">
      <alignment horizontal="center" vertical="center" wrapText="1"/>
    </xf>
    <xf numFmtId="3" fontId="12" fillId="0" borderId="20" xfId="0" applyNumberFormat="1" applyFont="1" applyFill="1" applyBorder="1" applyAlignment="1">
      <alignment horizontal="center"/>
    </xf>
    <xf numFmtId="3" fontId="12" fillId="0" borderId="18" xfId="0" applyNumberFormat="1" applyFont="1" applyFill="1" applyBorder="1" applyAlignment="1">
      <alignment horizontal="center"/>
    </xf>
    <xf numFmtId="4" fontId="12" fillId="2" borderId="17" xfId="0" applyNumberFormat="1" applyFont="1" applyFill="1" applyBorder="1" applyAlignment="1">
      <alignment horizontal="center"/>
    </xf>
    <xf numFmtId="4" fontId="12" fillId="2" borderId="18" xfId="0" applyNumberFormat="1" applyFont="1" applyFill="1" applyBorder="1" applyAlignment="1">
      <alignment horizontal="center"/>
    </xf>
    <xf numFmtId="4" fontId="16" fillId="2" borderId="19" xfId="0" applyNumberFormat="1" applyFont="1" applyFill="1" applyBorder="1" applyAlignment="1">
      <alignment horizontal="center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vertical="center" wrapText="1"/>
    </xf>
    <xf numFmtId="0" fontId="14" fillId="2" borderId="14" xfId="0" applyNumberFormat="1" applyFont="1" applyFill="1" applyBorder="1" applyAlignment="1">
      <alignment horizontal="center" vertical="center" wrapText="1"/>
    </xf>
    <xf numFmtId="0" fontId="14" fillId="2" borderId="22" xfId="0" applyNumberFormat="1" applyFont="1" applyFill="1" applyBorder="1" applyAlignment="1">
      <alignment horizontal="center" vertical="center" wrapText="1"/>
    </xf>
    <xf numFmtId="17" fontId="14" fillId="2" borderId="13" xfId="0" applyNumberFormat="1" applyFont="1" applyFill="1" applyBorder="1" applyAlignment="1">
      <alignment horizontal="center" vertical="center" wrapText="1"/>
    </xf>
    <xf numFmtId="0" fontId="14" fillId="2" borderId="23" xfId="0" applyNumberFormat="1" applyFont="1" applyFill="1" applyBorder="1" applyAlignment="1">
      <alignment horizontal="center" vertical="center" wrapText="1"/>
    </xf>
    <xf numFmtId="17" fontId="14" fillId="2" borderId="21" xfId="0" applyNumberFormat="1" applyFont="1" applyFill="1" applyBorder="1" applyAlignment="1">
      <alignment horizontal="center" vertical="center" wrapText="1"/>
    </xf>
    <xf numFmtId="17" fontId="14" fillId="8" borderId="2" xfId="0" applyNumberFormat="1" applyFont="1" applyFill="1" applyBorder="1" applyAlignment="1">
      <alignment horizontal="center" vertical="center" wrapText="1"/>
    </xf>
    <xf numFmtId="17" fontId="14" fillId="2" borderId="23" xfId="0" applyNumberFormat="1" applyFont="1" applyFill="1" applyBorder="1" applyAlignment="1">
      <alignment horizontal="center" vertical="center" wrapText="1"/>
    </xf>
    <xf numFmtId="17" fontId="14" fillId="2" borderId="15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/>
    </xf>
    <xf numFmtId="17" fontId="14" fillId="2" borderId="22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64" fontId="15" fillId="0" borderId="7" xfId="0" applyNumberFormat="1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14" fillId="2" borderId="2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0" fontId="14" fillId="2" borderId="35" xfId="1" applyNumberFormat="1" applyFont="1" applyFill="1" applyBorder="1" applyAlignment="1">
      <alignment horizontal="center" vertical="center" textRotation="90" wrapText="1"/>
    </xf>
    <xf numFmtId="0" fontId="17" fillId="5" borderId="25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 vertical="center"/>
    </xf>
    <xf numFmtId="3" fontId="12" fillId="0" borderId="20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4" fontId="16" fillId="8" borderId="16" xfId="0" applyNumberFormat="1" applyFont="1" applyFill="1" applyBorder="1" applyAlignment="1">
      <alignment horizontal="right" vertical="center"/>
    </xf>
    <xf numFmtId="4" fontId="16" fillId="8" borderId="11" xfId="0" applyNumberFormat="1" applyFont="1" applyFill="1" applyBorder="1" applyAlignment="1">
      <alignment horizontal="righ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1" xfId="0" applyNumberFormat="1" applyFont="1" applyFill="1" applyBorder="1" applyAlignment="1">
      <alignment horizontal="center" vertical="center"/>
    </xf>
    <xf numFmtId="164" fontId="12" fillId="2" borderId="7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20" fillId="0" borderId="9" xfId="2" applyNumberFormat="1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/>
    </xf>
    <xf numFmtId="17" fontId="26" fillId="2" borderId="14" xfId="0" applyNumberFormat="1" applyFont="1" applyFill="1" applyBorder="1" applyAlignment="1">
      <alignment horizontal="center" vertical="center" wrapText="1"/>
    </xf>
    <xf numFmtId="4" fontId="18" fillId="2" borderId="19" xfId="0" applyNumberFormat="1" applyFont="1" applyFill="1" applyBorder="1" applyAlignment="1">
      <alignment horizontal="center"/>
    </xf>
    <xf numFmtId="4" fontId="18" fillId="2" borderId="7" xfId="0" applyNumberFormat="1" applyFont="1" applyFill="1" applyBorder="1" applyAlignment="1">
      <alignment horizontal="center"/>
    </xf>
    <xf numFmtId="4" fontId="18" fillId="6" borderId="7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4" fontId="27" fillId="8" borderId="11" xfId="0" applyNumberFormat="1" applyFont="1" applyFill="1" applyBorder="1" applyAlignment="1">
      <alignment horizontal="right" vertical="center"/>
    </xf>
    <xf numFmtId="4" fontId="27" fillId="8" borderId="16" xfId="0" applyNumberFormat="1" applyFont="1" applyFill="1" applyBorder="1" applyAlignment="1">
      <alignment horizontal="right" vertical="center"/>
    </xf>
    <xf numFmtId="4" fontId="27" fillId="8" borderId="11" xfId="0" applyNumberFormat="1" applyFont="1" applyFill="1" applyBorder="1" applyAlignment="1">
      <alignment horizontal="right"/>
    </xf>
    <xf numFmtId="0" fontId="2" fillId="4" borderId="9" xfId="0" applyFont="1" applyFill="1" applyBorder="1" applyAlignment="1">
      <alignment horizontal="left" vertical="center"/>
    </xf>
    <xf numFmtId="3" fontId="12" fillId="0" borderId="31" xfId="0" applyNumberFormat="1" applyFont="1" applyFill="1" applyBorder="1" applyAlignment="1">
      <alignment horizontal="center" vertical="center"/>
    </xf>
    <xf numFmtId="3" fontId="12" fillId="0" borderId="29" xfId="0" applyNumberFormat="1" applyFont="1" applyFill="1" applyBorder="1" applyAlignment="1">
      <alignment horizontal="center" vertical="center"/>
    </xf>
    <xf numFmtId="4" fontId="27" fillId="8" borderId="12" xfId="0" applyNumberFormat="1" applyFont="1" applyFill="1" applyBorder="1" applyAlignment="1">
      <alignment horizontal="right" vertical="center"/>
    </xf>
    <xf numFmtId="4" fontId="16" fillId="8" borderId="12" xfId="0" applyNumberFormat="1" applyFont="1" applyFill="1" applyBorder="1" applyAlignment="1">
      <alignment horizontal="right" vertical="center"/>
    </xf>
    <xf numFmtId="4" fontId="12" fillId="0" borderId="17" xfId="0" applyNumberFormat="1" applyFont="1" applyFill="1" applyBorder="1" applyAlignment="1">
      <alignment horizontal="center"/>
    </xf>
    <xf numFmtId="4" fontId="12" fillId="0" borderId="18" xfId="0" applyNumberFormat="1" applyFont="1" applyFill="1" applyBorder="1" applyAlignment="1">
      <alignment horizontal="center"/>
    </xf>
    <xf numFmtId="4" fontId="18" fillId="0" borderId="19" xfId="0" applyNumberFormat="1" applyFont="1" applyFill="1" applyBorder="1" applyAlignment="1">
      <alignment horizontal="center"/>
    </xf>
    <xf numFmtId="4" fontId="18" fillId="0" borderId="1" xfId="0" applyNumberFormat="1" applyFont="1" applyFill="1" applyBorder="1" applyAlignment="1">
      <alignment horizontal="center"/>
    </xf>
    <xf numFmtId="4" fontId="12" fillId="0" borderId="3" xfId="0" applyNumberFormat="1" applyFont="1" applyFill="1" applyBorder="1" applyAlignment="1">
      <alignment horizontal="center"/>
    </xf>
    <xf numFmtId="4" fontId="23" fillId="5" borderId="14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/>
    </xf>
    <xf numFmtId="4" fontId="23" fillId="5" borderId="23" xfId="0" applyNumberFormat="1" applyFont="1" applyFill="1" applyBorder="1" applyAlignment="1">
      <alignment horizontal="center" vertical="center" wrapText="1"/>
    </xf>
    <xf numFmtId="4" fontId="18" fillId="7" borderId="7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center"/>
    </xf>
    <xf numFmtId="4" fontId="16" fillId="0" borderId="7" xfId="0" applyNumberFormat="1" applyFont="1" applyFill="1" applyBorder="1" applyAlignment="1">
      <alignment horizontal="center" vertical="center"/>
    </xf>
    <xf numFmtId="4" fontId="23" fillId="5" borderId="21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/>
    </xf>
    <xf numFmtId="4" fontId="23" fillId="8" borderId="2" xfId="0" applyNumberFormat="1" applyFont="1" applyFill="1" applyBorder="1" applyAlignment="1">
      <alignment horizontal="center" vertical="center" wrapText="1"/>
    </xf>
    <xf numFmtId="4" fontId="16" fillId="8" borderId="16" xfId="0" applyNumberFormat="1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18" fillId="4" borderId="17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1" fillId="4" borderId="18" xfId="0" applyNumberFormat="1" applyFont="1" applyFill="1" applyBorder="1" applyAlignment="1">
      <alignment horizontal="center" vertical="center"/>
    </xf>
    <xf numFmtId="0" fontId="12" fillId="4" borderId="0" xfId="0" applyNumberFormat="1" applyFont="1" applyFill="1" applyBorder="1" applyAlignment="1">
      <alignment horizontal="center" vertical="center"/>
    </xf>
    <xf numFmtId="0" fontId="12" fillId="0" borderId="29" xfId="0" applyNumberFormat="1" applyFont="1" applyFill="1" applyBorder="1" applyAlignment="1">
      <alignment horizontal="center" vertical="center"/>
    </xf>
    <xf numFmtId="164" fontId="12" fillId="4" borderId="19" xfId="0" applyNumberFormat="1" applyFont="1" applyFill="1" applyBorder="1" applyAlignment="1">
      <alignment horizontal="center" vertical="center"/>
    </xf>
    <xf numFmtId="164" fontId="12" fillId="0" borderId="30" xfId="0" applyNumberFormat="1" applyFont="1" applyFill="1" applyBorder="1" applyAlignment="1">
      <alignment horizontal="center" vertical="center"/>
    </xf>
    <xf numFmtId="4" fontId="12" fillId="6" borderId="17" xfId="0" applyNumberFormat="1" applyFont="1" applyFill="1" applyBorder="1" applyAlignment="1">
      <alignment horizontal="center"/>
    </xf>
    <xf numFmtId="4" fontId="12" fillId="6" borderId="18" xfId="0" applyNumberFormat="1" applyFont="1" applyFill="1" applyBorder="1" applyAlignment="1">
      <alignment horizontal="center"/>
    </xf>
    <xf numFmtId="3" fontId="1" fillId="0" borderId="20" xfId="0" applyNumberFormat="1" applyFont="1" applyFill="1" applyBorder="1" applyAlignment="1">
      <alignment horizontal="center" vertical="center"/>
    </xf>
    <xf numFmtId="4" fontId="12" fillId="7" borderId="10" xfId="0" applyNumberFormat="1" applyFont="1" applyFill="1" applyBorder="1" applyAlignment="1">
      <alignment horizontal="center"/>
    </xf>
    <xf numFmtId="4" fontId="12" fillId="7" borderId="3" xfId="0" applyNumberFormat="1" applyFont="1" applyFill="1" applyBorder="1" applyAlignment="1">
      <alignment horizontal="center"/>
    </xf>
    <xf numFmtId="4" fontId="12" fillId="5" borderId="1" xfId="0" applyNumberFormat="1" applyFont="1" applyFill="1" applyBorder="1" applyAlignment="1">
      <alignment horizontal="center"/>
    </xf>
    <xf numFmtId="4" fontId="18" fillId="5" borderId="7" xfId="0" applyNumberFormat="1" applyFont="1" applyFill="1" applyBorder="1" applyAlignment="1">
      <alignment horizontal="center"/>
    </xf>
    <xf numFmtId="4" fontId="12" fillId="5" borderId="9" xfId="0" applyNumberFormat="1" applyFont="1" applyFill="1" applyBorder="1" applyAlignment="1">
      <alignment horizontal="center"/>
    </xf>
    <xf numFmtId="4" fontId="12" fillId="5" borderId="3" xfId="0" applyNumberFormat="1" applyFont="1" applyFill="1" applyBorder="1" applyAlignment="1">
      <alignment horizontal="center"/>
    </xf>
    <xf numFmtId="4" fontId="18" fillId="5" borderId="8" xfId="0" applyNumberFormat="1" applyFont="1" applyFill="1" applyBorder="1" applyAlignment="1">
      <alignment horizontal="center"/>
    </xf>
    <xf numFmtId="4" fontId="12" fillId="9" borderId="9" xfId="0" applyNumberFormat="1" applyFont="1" applyFill="1" applyBorder="1" applyAlignment="1">
      <alignment horizontal="center"/>
    </xf>
    <xf numFmtId="4" fontId="12" fillId="7" borderId="7" xfId="0" applyNumberFormat="1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left" vertical="center"/>
    </xf>
    <xf numFmtId="4" fontId="18" fillId="0" borderId="7" xfId="0" applyNumberFormat="1" applyFont="1" applyFill="1" applyBorder="1" applyAlignment="1">
      <alignment horizontal="center"/>
    </xf>
    <xf numFmtId="4" fontId="12" fillId="2" borderId="0" xfId="0" applyNumberFormat="1" applyFont="1" applyFill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E212"/>
  <sheetViews>
    <sheetView topLeftCell="B1" workbookViewId="0">
      <pane ySplit="2" topLeftCell="A11" activePane="bottomLeft" state="frozen"/>
      <selection activeCell="B1" sqref="B1"/>
      <selection pane="bottomLeft" activeCell="AI28" sqref="AI28"/>
    </sheetView>
  </sheetViews>
  <sheetFormatPr defaultRowHeight="12.75" outlineLevelCol="1" x14ac:dyDescent="0.2"/>
  <cols>
    <col min="1" max="1" width="6.5703125" style="1" hidden="1" customWidth="1"/>
    <col min="2" max="2" width="4.85546875" style="1" customWidth="1"/>
    <col min="3" max="3" width="37.5703125" style="43" customWidth="1"/>
    <col min="4" max="4" width="15.42578125" style="52" customWidth="1"/>
    <col min="5" max="5" width="8.7109375" style="38" customWidth="1"/>
    <col min="6" max="7" width="8.7109375" style="38" customWidth="1" outlineLevel="1"/>
    <col min="8" max="8" width="10" style="38" customWidth="1" outlineLevel="1"/>
    <col min="9" max="9" width="12" style="38" customWidth="1"/>
    <col min="10" max="15" width="11.42578125" style="1" customWidth="1" outlineLevel="1"/>
    <col min="16" max="16" width="11.42578125" style="119" customWidth="1" outlineLevel="1"/>
    <col min="17" max="17" width="11.5703125" style="31" customWidth="1"/>
    <col min="18" max="29" width="9.7109375" style="1" hidden="1" customWidth="1" outlineLevel="1"/>
    <col min="30" max="30" width="9.140625" style="6" hidden="1" customWidth="1" outlineLevel="1"/>
    <col min="31" max="31" width="11.5703125" style="71" hidden="1" customWidth="1" collapsed="1"/>
    <col min="32" max="32" width="8.7109375" style="1" customWidth="1"/>
    <col min="33" max="16384" width="9.140625" style="1"/>
  </cols>
  <sheetData>
    <row r="1" spans="1:31" ht="13.5" hidden="1" thickBot="1" x14ac:dyDescent="0.25">
      <c r="F1" s="3"/>
      <c r="G1" s="3"/>
      <c r="H1" s="3"/>
      <c r="I1" s="9">
        <v>1490.23</v>
      </c>
      <c r="P1" s="1"/>
      <c r="AE1" s="7"/>
    </row>
    <row r="2" spans="1:31" s="4" customFormat="1" ht="55.5" customHeight="1" thickBot="1" x14ac:dyDescent="0.3">
      <c r="A2" s="61"/>
      <c r="B2" s="99" t="s">
        <v>77</v>
      </c>
      <c r="C2" s="80" t="s">
        <v>260</v>
      </c>
      <c r="D2" s="62" t="s">
        <v>78</v>
      </c>
      <c r="E2" s="63" t="s">
        <v>79</v>
      </c>
      <c r="F2" s="64" t="s">
        <v>102</v>
      </c>
      <c r="G2" s="65">
        <v>41609</v>
      </c>
      <c r="H2" s="62" t="s">
        <v>100</v>
      </c>
      <c r="I2" s="66" t="s">
        <v>101</v>
      </c>
      <c r="J2" s="67">
        <v>41426</v>
      </c>
      <c r="K2" s="65">
        <v>41456</v>
      </c>
      <c r="L2" s="65">
        <v>41487</v>
      </c>
      <c r="M2" s="65">
        <v>41518</v>
      </c>
      <c r="N2" s="65">
        <v>41548</v>
      </c>
      <c r="O2" s="65">
        <v>41579</v>
      </c>
      <c r="P2" s="115">
        <v>41609</v>
      </c>
      <c r="Q2" s="68" t="s">
        <v>80</v>
      </c>
      <c r="R2" s="72">
        <v>41640</v>
      </c>
      <c r="S2" s="65">
        <v>41671</v>
      </c>
      <c r="T2" s="65">
        <v>41699</v>
      </c>
      <c r="U2" s="65">
        <v>41730</v>
      </c>
      <c r="V2" s="69">
        <v>41760</v>
      </c>
      <c r="W2" s="67">
        <v>41791</v>
      </c>
      <c r="X2" s="65">
        <v>41821</v>
      </c>
      <c r="Y2" s="65">
        <v>41852</v>
      </c>
      <c r="Z2" s="65">
        <v>41883</v>
      </c>
      <c r="AA2" s="65">
        <v>41913</v>
      </c>
      <c r="AB2" s="65">
        <v>41944</v>
      </c>
      <c r="AC2" s="69">
        <v>41974</v>
      </c>
      <c r="AD2" s="70" t="s">
        <v>81</v>
      </c>
      <c r="AE2" s="68" t="s">
        <v>81</v>
      </c>
    </row>
    <row r="3" spans="1:31" s="4" customFormat="1" ht="15.75" x14ac:dyDescent="0.2">
      <c r="A3" s="94">
        <f t="shared" ref="A3:A66" si="0">SUM(A2+1)</f>
        <v>1</v>
      </c>
      <c r="B3" s="144">
        <v>1</v>
      </c>
      <c r="C3" s="146" t="s">
        <v>103</v>
      </c>
      <c r="D3" s="149" t="s">
        <v>236</v>
      </c>
      <c r="E3" s="152">
        <v>41426</v>
      </c>
      <c r="F3" s="56">
        <v>6</v>
      </c>
      <c r="G3" s="57">
        <v>12</v>
      </c>
      <c r="H3" s="37">
        <f>SUM(G3-F3)+1</f>
        <v>7</v>
      </c>
      <c r="I3" s="40">
        <f>SUM(H3*$I$1)+300</f>
        <v>10731.61</v>
      </c>
      <c r="J3" s="154"/>
      <c r="K3" s="155"/>
      <c r="L3" s="155"/>
      <c r="M3" s="155"/>
      <c r="N3" s="155">
        <v>7451.15</v>
      </c>
      <c r="O3" s="59"/>
      <c r="P3" s="116"/>
      <c r="Q3" s="121">
        <f t="shared" ref="Q3:Q49" si="1">SUM(I3-(J3+K3+L3+M3+N3+O3+P3))</f>
        <v>3280.4600000000009</v>
      </c>
      <c r="R3" s="58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60">
        <f t="shared" ref="AD3:AD34" si="2">SUM(R3:AC3)</f>
        <v>0</v>
      </c>
      <c r="AE3" s="106">
        <f t="shared" ref="AE3:AE66" si="3">AD3+Q3</f>
        <v>3280.4600000000009</v>
      </c>
    </row>
    <row r="4" spans="1:31" hidden="1" x14ac:dyDescent="0.2">
      <c r="A4" s="95">
        <f t="shared" si="0"/>
        <v>2</v>
      </c>
      <c r="B4" s="21">
        <v>2</v>
      </c>
      <c r="C4" s="108"/>
      <c r="D4" s="109"/>
      <c r="E4" s="110"/>
      <c r="F4" s="18"/>
      <c r="G4" s="14"/>
      <c r="H4" s="14"/>
      <c r="I4" s="19"/>
      <c r="J4" s="15"/>
      <c r="K4" s="5"/>
      <c r="L4" s="5"/>
      <c r="M4" s="5"/>
      <c r="N4" s="5"/>
      <c r="O4" s="5"/>
      <c r="P4" s="32"/>
      <c r="Q4" s="33">
        <f t="shared" si="1"/>
        <v>0</v>
      </c>
      <c r="R4" s="1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3">
        <f t="shared" si="2"/>
        <v>0</v>
      </c>
      <c r="AE4" s="33">
        <f t="shared" si="3"/>
        <v>0</v>
      </c>
    </row>
    <row r="5" spans="1:31" x14ac:dyDescent="0.2">
      <c r="A5" s="95">
        <f t="shared" si="0"/>
        <v>3</v>
      </c>
      <c r="B5" s="21">
        <v>3</v>
      </c>
      <c r="C5" s="84" t="s">
        <v>159</v>
      </c>
      <c r="D5" s="44" t="s">
        <v>264</v>
      </c>
      <c r="E5" s="45">
        <v>41496</v>
      </c>
      <c r="F5" s="28">
        <v>8</v>
      </c>
      <c r="G5" s="37">
        <v>12</v>
      </c>
      <c r="H5" s="37">
        <f>SUM(G5-F5)+1</f>
        <v>5</v>
      </c>
      <c r="I5" s="40">
        <f>SUM(H5*$I$1)+300</f>
        <v>7751.15</v>
      </c>
      <c r="J5" s="16"/>
      <c r="K5" s="35"/>
      <c r="L5" s="5"/>
      <c r="M5" s="5"/>
      <c r="N5" s="5"/>
      <c r="O5" s="5"/>
      <c r="P5" s="117"/>
      <c r="Q5" s="120">
        <f t="shared" si="1"/>
        <v>7751.15</v>
      </c>
      <c r="R5" s="1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3">
        <f t="shared" si="2"/>
        <v>0</v>
      </c>
      <c r="AE5" s="107">
        <f t="shared" si="3"/>
        <v>7751.15</v>
      </c>
    </row>
    <row r="6" spans="1:31" hidden="1" x14ac:dyDescent="0.2">
      <c r="A6" s="95">
        <f t="shared" si="0"/>
        <v>4</v>
      </c>
      <c r="B6" s="21">
        <v>4</v>
      </c>
      <c r="C6" s="108"/>
      <c r="D6" s="109"/>
      <c r="E6" s="110"/>
      <c r="F6" s="18"/>
      <c r="G6" s="14"/>
      <c r="H6" s="2"/>
      <c r="I6" s="20"/>
      <c r="J6" s="15"/>
      <c r="K6" s="5"/>
      <c r="L6" s="5"/>
      <c r="M6" s="5"/>
      <c r="N6" s="5"/>
      <c r="O6" s="5"/>
      <c r="P6" s="32"/>
      <c r="Q6" s="33">
        <f t="shared" si="1"/>
        <v>0</v>
      </c>
      <c r="R6" s="1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3">
        <f t="shared" si="2"/>
        <v>0</v>
      </c>
      <c r="AE6" s="33">
        <f t="shared" si="3"/>
        <v>0</v>
      </c>
    </row>
    <row r="7" spans="1:31" x14ac:dyDescent="0.2">
      <c r="A7" s="95">
        <f t="shared" si="0"/>
        <v>5</v>
      </c>
      <c r="B7" s="21">
        <v>5</v>
      </c>
      <c r="C7" s="82" t="s">
        <v>31</v>
      </c>
      <c r="D7" s="8" t="s">
        <v>52</v>
      </c>
      <c r="E7" s="29">
        <v>41444</v>
      </c>
      <c r="F7" s="102">
        <v>6</v>
      </c>
      <c r="G7" s="103">
        <v>12</v>
      </c>
      <c r="H7" s="37">
        <f t="shared" ref="H7:H27" si="4">SUM(G7-F7)+1</f>
        <v>7</v>
      </c>
      <c r="I7" s="40">
        <f t="shared" ref="I7:I30" si="5">SUM(H7*$I$1)+300</f>
        <v>10731.61</v>
      </c>
      <c r="J7" s="24"/>
      <c r="K7" s="23"/>
      <c r="L7" s="23"/>
      <c r="M7" s="23"/>
      <c r="N7" s="23"/>
      <c r="O7" s="23"/>
      <c r="P7" s="118">
        <v>12000</v>
      </c>
      <c r="Q7" s="120">
        <f t="shared" si="1"/>
        <v>-1268.3899999999994</v>
      </c>
      <c r="R7" s="1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3">
        <f t="shared" si="2"/>
        <v>0</v>
      </c>
      <c r="AE7" s="107">
        <f t="shared" si="3"/>
        <v>-1268.3899999999994</v>
      </c>
    </row>
    <row r="8" spans="1:31" x14ac:dyDescent="0.2">
      <c r="A8" s="95">
        <f t="shared" si="0"/>
        <v>6</v>
      </c>
      <c r="B8" s="21">
        <v>6</v>
      </c>
      <c r="C8" s="82" t="s">
        <v>75</v>
      </c>
      <c r="D8" s="8" t="s">
        <v>76</v>
      </c>
      <c r="E8" s="29">
        <v>41449</v>
      </c>
      <c r="F8" s="28">
        <v>6</v>
      </c>
      <c r="G8" s="37">
        <v>12</v>
      </c>
      <c r="H8" s="37">
        <f t="shared" si="4"/>
        <v>7</v>
      </c>
      <c r="I8" s="40">
        <f t="shared" si="5"/>
        <v>10731.61</v>
      </c>
      <c r="J8" s="24"/>
      <c r="K8" s="23"/>
      <c r="L8" s="23"/>
      <c r="M8" s="23"/>
      <c r="N8" s="23"/>
      <c r="O8" s="23">
        <f>3000+1500+3000</f>
        <v>7500</v>
      </c>
      <c r="P8" s="160"/>
      <c r="Q8" s="120">
        <f t="shared" si="1"/>
        <v>3231.6100000000006</v>
      </c>
      <c r="R8" s="1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3">
        <f t="shared" si="2"/>
        <v>0</v>
      </c>
      <c r="AE8" s="107">
        <f t="shared" si="3"/>
        <v>3231.6100000000006</v>
      </c>
    </row>
    <row r="9" spans="1:31" x14ac:dyDescent="0.2">
      <c r="A9" s="95">
        <f t="shared" si="0"/>
        <v>7</v>
      </c>
      <c r="B9" s="21">
        <v>7</v>
      </c>
      <c r="C9" s="81" t="s">
        <v>145</v>
      </c>
      <c r="D9" s="46" t="s">
        <v>258</v>
      </c>
      <c r="E9" s="29">
        <v>41573</v>
      </c>
      <c r="F9" s="26">
        <v>6</v>
      </c>
      <c r="G9" s="27">
        <v>12</v>
      </c>
      <c r="H9" s="37">
        <f t="shared" si="4"/>
        <v>7</v>
      </c>
      <c r="I9" s="40">
        <f t="shared" si="5"/>
        <v>10731.61</v>
      </c>
      <c r="J9" s="24"/>
      <c r="K9" s="5"/>
      <c r="L9" s="5"/>
      <c r="M9" s="5"/>
      <c r="N9" s="5"/>
      <c r="O9" s="5"/>
      <c r="P9" s="117">
        <v>1790</v>
      </c>
      <c r="Q9" s="120">
        <f t="shared" si="1"/>
        <v>8941.61</v>
      </c>
      <c r="R9" s="1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3">
        <f t="shared" si="2"/>
        <v>0</v>
      </c>
      <c r="AE9" s="107">
        <f t="shared" si="3"/>
        <v>8941.61</v>
      </c>
    </row>
    <row r="10" spans="1:31" x14ac:dyDescent="0.2">
      <c r="A10" s="95">
        <f t="shared" si="0"/>
        <v>8</v>
      </c>
      <c r="B10" s="21">
        <v>8</v>
      </c>
      <c r="C10" s="101" t="s">
        <v>86</v>
      </c>
      <c r="D10" s="44" t="s">
        <v>91</v>
      </c>
      <c r="E10" s="45">
        <v>41456</v>
      </c>
      <c r="F10" s="39">
        <v>6</v>
      </c>
      <c r="G10" s="37">
        <v>12</v>
      </c>
      <c r="H10" s="37">
        <f t="shared" si="4"/>
        <v>7</v>
      </c>
      <c r="I10" s="40">
        <f t="shared" si="5"/>
        <v>10731.61</v>
      </c>
      <c r="J10" s="24"/>
      <c r="K10" s="23">
        <v>1490.23</v>
      </c>
      <c r="L10" s="23"/>
      <c r="M10" s="23"/>
      <c r="N10" s="23">
        <v>5961</v>
      </c>
      <c r="O10" s="5"/>
      <c r="P10" s="117"/>
      <c r="Q10" s="120">
        <f t="shared" si="1"/>
        <v>3280.380000000001</v>
      </c>
      <c r="R10" s="1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3">
        <f t="shared" si="2"/>
        <v>0</v>
      </c>
      <c r="AE10" s="107">
        <f t="shared" si="3"/>
        <v>3280.380000000001</v>
      </c>
    </row>
    <row r="11" spans="1:31" x14ac:dyDescent="0.2">
      <c r="A11" s="95">
        <f t="shared" si="0"/>
        <v>9</v>
      </c>
      <c r="B11" s="21">
        <v>9</v>
      </c>
      <c r="C11" s="81" t="s">
        <v>146</v>
      </c>
      <c r="D11" s="46" t="s">
        <v>253</v>
      </c>
      <c r="E11" s="29">
        <v>41426</v>
      </c>
      <c r="F11" s="28">
        <v>6</v>
      </c>
      <c r="G11" s="37">
        <v>12</v>
      </c>
      <c r="H11" s="37">
        <f t="shared" si="4"/>
        <v>7</v>
      </c>
      <c r="I11" s="40">
        <f t="shared" si="5"/>
        <v>10731.61</v>
      </c>
      <c r="J11" s="161"/>
      <c r="K11" s="159"/>
      <c r="L11" s="159"/>
      <c r="M11" s="159"/>
      <c r="N11" s="159"/>
      <c r="O11" s="159"/>
      <c r="P11" s="160"/>
      <c r="Q11" s="120">
        <f t="shared" si="1"/>
        <v>10731.61</v>
      </c>
      <c r="R11" s="1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3">
        <f t="shared" si="2"/>
        <v>0</v>
      </c>
      <c r="AE11" s="107">
        <f t="shared" si="3"/>
        <v>10731.61</v>
      </c>
    </row>
    <row r="12" spans="1:31" ht="15.75" customHeight="1" x14ac:dyDescent="0.2">
      <c r="A12" s="95">
        <f t="shared" si="0"/>
        <v>10</v>
      </c>
      <c r="B12" s="21">
        <v>10</v>
      </c>
      <c r="C12" s="123" t="s">
        <v>164</v>
      </c>
      <c r="D12" s="46" t="s">
        <v>265</v>
      </c>
      <c r="E12" s="29">
        <v>41529</v>
      </c>
      <c r="F12" s="28">
        <v>10</v>
      </c>
      <c r="G12" s="37">
        <v>12</v>
      </c>
      <c r="H12" s="37">
        <f t="shared" si="4"/>
        <v>3</v>
      </c>
      <c r="I12" s="40">
        <f t="shared" si="5"/>
        <v>4770.6900000000005</v>
      </c>
      <c r="J12" s="16"/>
      <c r="K12" s="35"/>
      <c r="L12" s="35"/>
      <c r="M12" s="35"/>
      <c r="N12" s="23"/>
      <c r="O12" s="23"/>
      <c r="P12" s="118">
        <f>2980.46+2019.54</f>
        <v>5000</v>
      </c>
      <c r="Q12" s="120">
        <f t="shared" si="1"/>
        <v>-229.30999999999949</v>
      </c>
      <c r="R12" s="1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3">
        <f t="shared" si="2"/>
        <v>0</v>
      </c>
      <c r="AE12" s="107">
        <f t="shared" si="3"/>
        <v>-229.30999999999949</v>
      </c>
    </row>
    <row r="13" spans="1:31" x14ac:dyDescent="0.2">
      <c r="A13" s="94">
        <f t="shared" si="0"/>
        <v>11</v>
      </c>
      <c r="B13" s="21">
        <v>11</v>
      </c>
      <c r="C13" s="82" t="s">
        <v>39</v>
      </c>
      <c r="D13" s="8" t="s">
        <v>53</v>
      </c>
      <c r="E13" s="29">
        <v>41444</v>
      </c>
      <c r="F13" s="28">
        <v>6</v>
      </c>
      <c r="G13" s="37">
        <v>12</v>
      </c>
      <c r="H13" s="37">
        <f t="shared" si="4"/>
        <v>7</v>
      </c>
      <c r="I13" s="40">
        <f t="shared" si="5"/>
        <v>10731.61</v>
      </c>
      <c r="J13" s="15"/>
      <c r="K13" s="5"/>
      <c r="L13" s="5"/>
      <c r="M13" s="5"/>
      <c r="N13" s="5"/>
      <c r="O13" s="5"/>
      <c r="P13" s="117"/>
      <c r="Q13" s="120">
        <f t="shared" si="1"/>
        <v>10731.61</v>
      </c>
      <c r="R13" s="1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3">
        <f t="shared" si="2"/>
        <v>0</v>
      </c>
      <c r="AE13" s="107">
        <f t="shared" si="3"/>
        <v>10731.61</v>
      </c>
    </row>
    <row r="14" spans="1:31" x14ac:dyDescent="0.2">
      <c r="A14" s="95">
        <f t="shared" si="0"/>
        <v>12</v>
      </c>
      <c r="B14" s="21">
        <v>12</v>
      </c>
      <c r="C14" s="84" t="s">
        <v>214</v>
      </c>
      <c r="D14" s="46" t="s">
        <v>232</v>
      </c>
      <c r="E14" s="29">
        <v>41560</v>
      </c>
      <c r="F14" s="18">
        <v>11</v>
      </c>
      <c r="G14" s="14">
        <v>12</v>
      </c>
      <c r="H14" s="37">
        <f t="shared" si="4"/>
        <v>2</v>
      </c>
      <c r="I14" s="40">
        <f t="shared" si="5"/>
        <v>3280.46</v>
      </c>
      <c r="J14" s="16"/>
      <c r="K14" s="35"/>
      <c r="L14" s="35"/>
      <c r="M14" s="35"/>
      <c r="N14" s="35"/>
      <c r="O14" s="23">
        <v>1490.23</v>
      </c>
      <c r="P14" s="118">
        <f>1490.23*2</f>
        <v>2980.46</v>
      </c>
      <c r="Q14" s="120">
        <f t="shared" si="1"/>
        <v>-1190.2300000000005</v>
      </c>
      <c r="R14" s="24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3">
        <f t="shared" si="2"/>
        <v>0</v>
      </c>
      <c r="AE14" s="107">
        <f t="shared" si="3"/>
        <v>-1190.2300000000005</v>
      </c>
    </row>
    <row r="15" spans="1:31" x14ac:dyDescent="0.2">
      <c r="A15" s="95">
        <f t="shared" si="0"/>
        <v>13</v>
      </c>
      <c r="B15" s="21">
        <v>13</v>
      </c>
      <c r="C15" s="86" t="s">
        <v>96</v>
      </c>
      <c r="D15" s="46" t="s">
        <v>188</v>
      </c>
      <c r="E15" s="29">
        <v>41449</v>
      </c>
      <c r="F15" s="28">
        <v>7</v>
      </c>
      <c r="G15" s="37">
        <v>12</v>
      </c>
      <c r="H15" s="37">
        <f t="shared" si="4"/>
        <v>6</v>
      </c>
      <c r="I15" s="40">
        <f t="shared" si="5"/>
        <v>9241.380000000001</v>
      </c>
      <c r="J15" s="164"/>
      <c r="K15" s="23"/>
      <c r="L15" s="23">
        <f>1490.23+1490.23</f>
        <v>2980.46</v>
      </c>
      <c r="M15" s="23"/>
      <c r="N15" s="23"/>
      <c r="O15" s="23">
        <f>2980.46+1490.23+1790</f>
        <v>6260.6900000000005</v>
      </c>
      <c r="P15" s="118"/>
      <c r="Q15" s="120">
        <f t="shared" si="1"/>
        <v>0.22999999999956344</v>
      </c>
      <c r="R15" s="1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3">
        <f t="shared" si="2"/>
        <v>0</v>
      </c>
      <c r="AE15" s="107">
        <f t="shared" si="3"/>
        <v>0.22999999999956344</v>
      </c>
    </row>
    <row r="16" spans="1:31" x14ac:dyDescent="0.2">
      <c r="A16" s="95">
        <f t="shared" si="0"/>
        <v>14</v>
      </c>
      <c r="B16" s="21">
        <v>14</v>
      </c>
      <c r="C16" s="82" t="s">
        <v>35</v>
      </c>
      <c r="D16" s="8" t="s">
        <v>54</v>
      </c>
      <c r="E16" s="29">
        <v>41444</v>
      </c>
      <c r="F16" s="28">
        <v>6</v>
      </c>
      <c r="G16" s="37">
        <v>12</v>
      </c>
      <c r="H16" s="37">
        <f t="shared" si="4"/>
        <v>7</v>
      </c>
      <c r="I16" s="40">
        <f t="shared" si="5"/>
        <v>10731.61</v>
      </c>
      <c r="J16" s="24"/>
      <c r="K16" s="23"/>
      <c r="L16" s="23"/>
      <c r="M16" s="23"/>
      <c r="N16" s="23"/>
      <c r="O16" s="23">
        <v>8941.3799999999992</v>
      </c>
      <c r="P16" s="118">
        <v>1790.23</v>
      </c>
      <c r="Q16" s="120">
        <f t="shared" si="1"/>
        <v>1.8189894035458565E-12</v>
      </c>
      <c r="R16" s="1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3">
        <f t="shared" si="2"/>
        <v>0</v>
      </c>
      <c r="AE16" s="107">
        <f t="shared" si="3"/>
        <v>1.8189894035458565E-12</v>
      </c>
    </row>
    <row r="17" spans="1:31" x14ac:dyDescent="0.2">
      <c r="A17" s="95">
        <f t="shared" si="0"/>
        <v>15</v>
      </c>
      <c r="B17" s="21">
        <v>15</v>
      </c>
      <c r="C17" s="82" t="s">
        <v>38</v>
      </c>
      <c r="D17" s="8" t="s">
        <v>55</v>
      </c>
      <c r="E17" s="29">
        <v>41444</v>
      </c>
      <c r="F17" s="28">
        <v>6</v>
      </c>
      <c r="G17" s="37">
        <v>12</v>
      </c>
      <c r="H17" s="37">
        <f t="shared" si="4"/>
        <v>7</v>
      </c>
      <c r="I17" s="40">
        <f t="shared" si="5"/>
        <v>10731.61</v>
      </c>
      <c r="J17" s="24">
        <v>1490.23</v>
      </c>
      <c r="K17" s="23"/>
      <c r="L17" s="23"/>
      <c r="M17" s="23">
        <v>4470.6899999999996</v>
      </c>
      <c r="N17" s="23"/>
      <c r="O17" s="23"/>
      <c r="P17" s="118">
        <v>4770.6899999999996</v>
      </c>
      <c r="Q17" s="120">
        <f t="shared" si="1"/>
        <v>0</v>
      </c>
      <c r="R17" s="1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3">
        <f t="shared" si="2"/>
        <v>0</v>
      </c>
      <c r="AE17" s="107">
        <f t="shared" si="3"/>
        <v>0</v>
      </c>
    </row>
    <row r="18" spans="1:31" x14ac:dyDescent="0.2">
      <c r="A18" s="95">
        <f t="shared" si="0"/>
        <v>16</v>
      </c>
      <c r="B18" s="21">
        <v>16</v>
      </c>
      <c r="C18" s="82" t="s">
        <v>16</v>
      </c>
      <c r="D18" s="46" t="s">
        <v>211</v>
      </c>
      <c r="E18" s="29">
        <v>41426</v>
      </c>
      <c r="F18" s="28">
        <v>6</v>
      </c>
      <c r="G18" s="37">
        <v>12</v>
      </c>
      <c r="H18" s="37">
        <f t="shared" si="4"/>
        <v>7</v>
      </c>
      <c r="I18" s="40">
        <f t="shared" si="5"/>
        <v>10731.61</v>
      </c>
      <c r="J18" s="24"/>
      <c r="K18" s="23"/>
      <c r="L18" s="23"/>
      <c r="M18" s="23"/>
      <c r="N18" s="23">
        <v>7451.15</v>
      </c>
      <c r="O18" s="23">
        <f>1790.23+1490.23</f>
        <v>3280.46</v>
      </c>
      <c r="P18" s="118"/>
      <c r="Q18" s="120">
        <f t="shared" si="1"/>
        <v>0</v>
      </c>
      <c r="R18" s="1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3">
        <f t="shared" si="2"/>
        <v>0</v>
      </c>
      <c r="AE18" s="107">
        <f t="shared" si="3"/>
        <v>0</v>
      </c>
    </row>
    <row r="19" spans="1:31" x14ac:dyDescent="0.2">
      <c r="A19" s="95">
        <f t="shared" si="0"/>
        <v>17</v>
      </c>
      <c r="B19" s="21">
        <v>17</v>
      </c>
      <c r="C19" s="82" t="s">
        <v>43</v>
      </c>
      <c r="D19" s="8" t="s">
        <v>56</v>
      </c>
      <c r="E19" s="29">
        <v>41444</v>
      </c>
      <c r="F19" s="28">
        <v>6</v>
      </c>
      <c r="G19" s="37">
        <v>12</v>
      </c>
      <c r="H19" s="37">
        <f t="shared" si="4"/>
        <v>7</v>
      </c>
      <c r="I19" s="40">
        <f t="shared" si="5"/>
        <v>10731.61</v>
      </c>
      <c r="J19" s="161"/>
      <c r="K19" s="159"/>
      <c r="L19" s="159"/>
      <c r="M19" s="159"/>
      <c r="N19" s="159"/>
      <c r="O19" s="159"/>
      <c r="P19" s="160"/>
      <c r="Q19" s="120">
        <f t="shared" si="1"/>
        <v>10731.61</v>
      </c>
      <c r="R19" s="1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3">
        <f t="shared" si="2"/>
        <v>0</v>
      </c>
      <c r="AE19" s="107">
        <f t="shared" si="3"/>
        <v>10731.61</v>
      </c>
    </row>
    <row r="20" spans="1:31" x14ac:dyDescent="0.2">
      <c r="A20" s="95">
        <f t="shared" si="0"/>
        <v>18</v>
      </c>
      <c r="B20" s="21">
        <v>18</v>
      </c>
      <c r="C20" s="81" t="s">
        <v>148</v>
      </c>
      <c r="D20" s="46" t="s">
        <v>177</v>
      </c>
      <c r="E20" s="29">
        <v>41505</v>
      </c>
      <c r="F20" s="102">
        <v>6</v>
      </c>
      <c r="G20" s="103">
        <v>12</v>
      </c>
      <c r="H20" s="37">
        <f t="shared" si="4"/>
        <v>7</v>
      </c>
      <c r="I20" s="40">
        <f t="shared" si="5"/>
        <v>10731.61</v>
      </c>
      <c r="J20" s="24"/>
      <c r="K20" s="23"/>
      <c r="L20" s="23"/>
      <c r="M20" s="23"/>
      <c r="N20" s="5"/>
      <c r="O20" s="5">
        <v>2980</v>
      </c>
      <c r="P20" s="117">
        <v>2980</v>
      </c>
      <c r="Q20" s="120">
        <f t="shared" si="1"/>
        <v>4771.6100000000006</v>
      </c>
      <c r="R20" s="1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3">
        <f t="shared" si="2"/>
        <v>0</v>
      </c>
      <c r="AE20" s="107">
        <f t="shared" si="3"/>
        <v>4771.6100000000006</v>
      </c>
    </row>
    <row r="21" spans="1:31" x14ac:dyDescent="0.2">
      <c r="A21" s="95">
        <f t="shared" si="0"/>
        <v>19</v>
      </c>
      <c r="B21" s="21">
        <v>19</v>
      </c>
      <c r="C21" s="86" t="s">
        <v>97</v>
      </c>
      <c r="D21" s="46" t="s">
        <v>183</v>
      </c>
      <c r="E21" s="29">
        <v>41472</v>
      </c>
      <c r="F21" s="102">
        <v>6</v>
      </c>
      <c r="G21" s="103">
        <v>12</v>
      </c>
      <c r="H21" s="37">
        <f t="shared" si="4"/>
        <v>7</v>
      </c>
      <c r="I21" s="40">
        <f t="shared" si="5"/>
        <v>10731.61</v>
      </c>
      <c r="J21" s="24"/>
      <c r="K21" s="23"/>
      <c r="L21" s="23">
        <v>2980.46</v>
      </c>
      <c r="M21" s="23"/>
      <c r="N21" s="23">
        <v>5960.92</v>
      </c>
      <c r="O21" s="23">
        <v>10741.38</v>
      </c>
      <c r="P21" s="118"/>
      <c r="Q21" s="120">
        <f t="shared" si="1"/>
        <v>-8951.1500000000015</v>
      </c>
      <c r="R21" s="24"/>
      <c r="S21" s="23"/>
      <c r="T21" s="23"/>
      <c r="U21" s="23"/>
      <c r="V21" s="23"/>
      <c r="W21" s="5"/>
      <c r="X21" s="5"/>
      <c r="Y21" s="5"/>
      <c r="Z21" s="5"/>
      <c r="AA21" s="5"/>
      <c r="AB21" s="5"/>
      <c r="AC21" s="5"/>
      <c r="AD21" s="53">
        <f t="shared" si="2"/>
        <v>0</v>
      </c>
      <c r="AE21" s="107">
        <f t="shared" si="3"/>
        <v>-8951.1500000000015</v>
      </c>
    </row>
    <row r="22" spans="1:31" x14ac:dyDescent="0.2">
      <c r="A22" s="95">
        <f t="shared" si="0"/>
        <v>20</v>
      </c>
      <c r="B22" s="21">
        <v>20</v>
      </c>
      <c r="C22" s="81" t="s">
        <v>149</v>
      </c>
      <c r="D22" s="46" t="s">
        <v>251</v>
      </c>
      <c r="E22" s="29">
        <v>41426</v>
      </c>
      <c r="F22" s="28">
        <v>6</v>
      </c>
      <c r="G22" s="37">
        <v>12</v>
      </c>
      <c r="H22" s="37">
        <f t="shared" si="4"/>
        <v>7</v>
      </c>
      <c r="I22" s="40">
        <f t="shared" si="5"/>
        <v>10731.61</v>
      </c>
      <c r="J22" s="24"/>
      <c r="K22" s="23"/>
      <c r="L22" s="23"/>
      <c r="M22" s="23"/>
      <c r="N22" s="23"/>
      <c r="O22" s="23">
        <v>10431.61</v>
      </c>
      <c r="P22" s="118"/>
      <c r="Q22" s="120">
        <f t="shared" si="1"/>
        <v>300</v>
      </c>
      <c r="R22" s="1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3">
        <f t="shared" si="2"/>
        <v>0</v>
      </c>
      <c r="AE22" s="107">
        <f t="shared" si="3"/>
        <v>300</v>
      </c>
    </row>
    <row r="23" spans="1:31" x14ac:dyDescent="0.2">
      <c r="A23" s="94">
        <f t="shared" si="0"/>
        <v>21</v>
      </c>
      <c r="B23" s="21">
        <v>21</v>
      </c>
      <c r="C23" s="82" t="s">
        <v>44</v>
      </c>
      <c r="D23" s="150" t="s">
        <v>57</v>
      </c>
      <c r="E23" s="29">
        <v>41444</v>
      </c>
      <c r="F23" s="102">
        <v>6</v>
      </c>
      <c r="G23" s="103">
        <v>12</v>
      </c>
      <c r="H23" s="37">
        <f t="shared" si="4"/>
        <v>7</v>
      </c>
      <c r="I23" s="40">
        <f t="shared" si="5"/>
        <v>10731.61</v>
      </c>
      <c r="J23" s="24"/>
      <c r="K23" s="23"/>
      <c r="L23" s="23"/>
      <c r="M23" s="23"/>
      <c r="N23" s="23"/>
      <c r="O23" s="23"/>
      <c r="P23" s="118">
        <v>10731.6</v>
      </c>
      <c r="Q23" s="120">
        <f t="shared" si="1"/>
        <v>1.0000000000218279E-2</v>
      </c>
      <c r="R23" s="1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3">
        <f t="shared" si="2"/>
        <v>0</v>
      </c>
      <c r="AE23" s="107">
        <f t="shared" si="3"/>
        <v>1.0000000000218279E-2</v>
      </c>
    </row>
    <row r="24" spans="1:31" x14ac:dyDescent="0.2">
      <c r="A24" s="95">
        <f t="shared" si="0"/>
        <v>22</v>
      </c>
      <c r="B24" s="21">
        <v>22</v>
      </c>
      <c r="C24" s="81" t="s">
        <v>150</v>
      </c>
      <c r="D24" s="46" t="s">
        <v>166</v>
      </c>
      <c r="E24" s="29">
        <v>41512</v>
      </c>
      <c r="F24" s="156">
        <v>6</v>
      </c>
      <c r="G24" s="103">
        <v>12</v>
      </c>
      <c r="H24" s="37">
        <f t="shared" si="4"/>
        <v>7</v>
      </c>
      <c r="I24" s="40">
        <f t="shared" si="5"/>
        <v>10731.61</v>
      </c>
      <c r="J24" s="24"/>
      <c r="K24" s="23"/>
      <c r="L24" s="23"/>
      <c r="M24" s="36"/>
      <c r="N24" s="23"/>
      <c r="O24" s="23">
        <v>1490.23</v>
      </c>
      <c r="P24" s="167">
        <f>4470.69+4470.69</f>
        <v>8941.3799999999992</v>
      </c>
      <c r="Q24" s="120">
        <f t="shared" si="1"/>
        <v>300.00000000000182</v>
      </c>
      <c r="R24" s="1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3">
        <f t="shared" si="2"/>
        <v>0</v>
      </c>
      <c r="AE24" s="107">
        <f t="shared" si="3"/>
        <v>300.00000000000182</v>
      </c>
    </row>
    <row r="25" spans="1:31" x14ac:dyDescent="0.2">
      <c r="A25" s="95">
        <f t="shared" si="0"/>
        <v>23</v>
      </c>
      <c r="B25" s="21">
        <v>23</v>
      </c>
      <c r="C25" s="81" t="s">
        <v>151</v>
      </c>
      <c r="D25" s="46" t="s">
        <v>254</v>
      </c>
      <c r="E25" s="29">
        <v>41426</v>
      </c>
      <c r="F25" s="56">
        <v>6</v>
      </c>
      <c r="G25" s="57">
        <v>12</v>
      </c>
      <c r="H25" s="37">
        <f t="shared" si="4"/>
        <v>7</v>
      </c>
      <c r="I25" s="40">
        <f t="shared" si="5"/>
        <v>10731.61</v>
      </c>
      <c r="J25" s="161"/>
      <c r="K25" s="159"/>
      <c r="L25" s="159"/>
      <c r="M25" s="159"/>
      <c r="N25" s="159"/>
      <c r="O25" s="159"/>
      <c r="P25" s="160"/>
      <c r="Q25" s="120">
        <f t="shared" si="1"/>
        <v>10731.61</v>
      </c>
      <c r="R25" s="1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3">
        <f t="shared" si="2"/>
        <v>0</v>
      </c>
      <c r="AE25" s="107">
        <f t="shared" si="3"/>
        <v>10731.61</v>
      </c>
    </row>
    <row r="26" spans="1:31" x14ac:dyDescent="0.2">
      <c r="A26" s="95">
        <f t="shared" si="0"/>
        <v>24</v>
      </c>
      <c r="B26" s="22">
        <v>24</v>
      </c>
      <c r="C26" s="97" t="s">
        <v>201</v>
      </c>
      <c r="D26" s="50"/>
      <c r="E26" s="51"/>
      <c r="F26" s="102">
        <v>6</v>
      </c>
      <c r="G26" s="103">
        <v>12</v>
      </c>
      <c r="H26" s="37">
        <f t="shared" si="4"/>
        <v>7</v>
      </c>
      <c r="I26" s="40">
        <f t="shared" si="5"/>
        <v>10731.61</v>
      </c>
      <c r="J26" s="24"/>
      <c r="K26" s="23"/>
      <c r="L26" s="23"/>
      <c r="M26" s="159"/>
      <c r="N26" s="5"/>
      <c r="O26" s="5"/>
      <c r="P26" s="117">
        <f>1490.23*3</f>
        <v>4470.6900000000005</v>
      </c>
      <c r="Q26" s="120">
        <f t="shared" si="1"/>
        <v>6260.92</v>
      </c>
      <c r="R26" s="1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3">
        <f t="shared" si="2"/>
        <v>0</v>
      </c>
      <c r="AE26" s="107">
        <f t="shared" si="3"/>
        <v>6260.92</v>
      </c>
    </row>
    <row r="27" spans="1:31" x14ac:dyDescent="0.2">
      <c r="A27" s="95">
        <f t="shared" si="0"/>
        <v>25</v>
      </c>
      <c r="B27" s="21">
        <v>25</v>
      </c>
      <c r="C27" s="111" t="s">
        <v>153</v>
      </c>
      <c r="D27" s="50"/>
      <c r="E27" s="51"/>
      <c r="F27" s="28">
        <v>6</v>
      </c>
      <c r="G27" s="37">
        <v>12</v>
      </c>
      <c r="H27" s="37">
        <f t="shared" si="4"/>
        <v>7</v>
      </c>
      <c r="I27" s="40">
        <f t="shared" si="5"/>
        <v>10731.61</v>
      </c>
      <c r="J27" s="161"/>
      <c r="K27" s="159"/>
      <c r="L27" s="5"/>
      <c r="M27" s="5"/>
      <c r="N27" s="5"/>
      <c r="O27" s="5"/>
      <c r="P27" s="117"/>
      <c r="Q27" s="120">
        <f t="shared" si="1"/>
        <v>10731.61</v>
      </c>
      <c r="R27" s="1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3">
        <f t="shared" si="2"/>
        <v>0</v>
      </c>
      <c r="AE27" s="107">
        <f t="shared" si="3"/>
        <v>10731.61</v>
      </c>
    </row>
    <row r="28" spans="1:31" x14ac:dyDescent="0.2">
      <c r="A28" s="95">
        <f t="shared" si="0"/>
        <v>26</v>
      </c>
      <c r="B28" s="21">
        <v>26</v>
      </c>
      <c r="C28" s="81" t="s">
        <v>154</v>
      </c>
      <c r="D28" s="46" t="s">
        <v>172</v>
      </c>
      <c r="E28" s="29">
        <v>41456</v>
      </c>
      <c r="F28" s="28">
        <v>6</v>
      </c>
      <c r="G28" s="37">
        <v>12</v>
      </c>
      <c r="H28" s="37">
        <f>G28-F28+1</f>
        <v>7</v>
      </c>
      <c r="I28" s="40">
        <f t="shared" si="5"/>
        <v>10731.61</v>
      </c>
      <c r="J28" s="5"/>
      <c r="K28" s="5"/>
      <c r="L28" s="5"/>
      <c r="M28" s="5"/>
      <c r="N28" s="5"/>
      <c r="O28" s="5"/>
      <c r="P28" s="117"/>
      <c r="Q28" s="120">
        <f t="shared" si="1"/>
        <v>10731.61</v>
      </c>
      <c r="R28" s="1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3">
        <f t="shared" si="2"/>
        <v>0</v>
      </c>
      <c r="AE28" s="107">
        <f t="shared" si="3"/>
        <v>10731.61</v>
      </c>
    </row>
    <row r="29" spans="1:31" x14ac:dyDescent="0.2">
      <c r="A29" s="95">
        <f t="shared" si="0"/>
        <v>27</v>
      </c>
      <c r="B29" s="21">
        <v>27</v>
      </c>
      <c r="C29" s="86" t="s">
        <v>95</v>
      </c>
      <c r="D29" s="47" t="s">
        <v>161</v>
      </c>
      <c r="E29" s="29">
        <v>41470</v>
      </c>
      <c r="F29" s="28">
        <v>6</v>
      </c>
      <c r="G29" s="37">
        <v>12</v>
      </c>
      <c r="H29" s="37">
        <f>G29-F29+1</f>
        <v>7</v>
      </c>
      <c r="I29" s="40">
        <f t="shared" si="5"/>
        <v>10731.61</v>
      </c>
      <c r="J29" s="23"/>
      <c r="K29" s="23">
        <v>1490.23</v>
      </c>
      <c r="L29" s="23">
        <v>1490.23</v>
      </c>
      <c r="M29" s="23"/>
      <c r="N29" s="23">
        <f>1490.23*2</f>
        <v>2980.46</v>
      </c>
      <c r="O29" s="23"/>
      <c r="P29" s="118">
        <f>1490.23+1490.23+1490.23</f>
        <v>4470.6900000000005</v>
      </c>
      <c r="Q29" s="120">
        <f t="shared" si="1"/>
        <v>300</v>
      </c>
      <c r="R29" s="1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3">
        <f t="shared" si="2"/>
        <v>0</v>
      </c>
      <c r="AE29" s="107">
        <f t="shared" si="3"/>
        <v>300</v>
      </c>
    </row>
    <row r="30" spans="1:31" x14ac:dyDescent="0.2">
      <c r="A30" s="95">
        <f t="shared" si="0"/>
        <v>28</v>
      </c>
      <c r="B30" s="21">
        <v>28</v>
      </c>
      <c r="C30" s="98" t="s">
        <v>210</v>
      </c>
      <c r="D30" s="50"/>
      <c r="E30" s="51"/>
      <c r="F30" s="28">
        <v>6</v>
      </c>
      <c r="G30" s="37">
        <v>12</v>
      </c>
      <c r="H30" s="37">
        <f>SUM(G30-F30)+1</f>
        <v>7</v>
      </c>
      <c r="I30" s="40">
        <f t="shared" si="5"/>
        <v>10731.61</v>
      </c>
      <c r="J30" s="24"/>
      <c r="K30" s="24"/>
      <c r="L30" s="23"/>
      <c r="M30" s="23"/>
      <c r="N30" s="23"/>
      <c r="O30" s="23"/>
      <c r="P30" s="118">
        <f>8941.38+1490.23</f>
        <v>10431.609999999999</v>
      </c>
      <c r="Q30" s="120">
        <f t="shared" si="1"/>
        <v>300.00000000000182</v>
      </c>
      <c r="R30" s="1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3">
        <f t="shared" si="2"/>
        <v>0</v>
      </c>
      <c r="AE30" s="107">
        <f t="shared" si="3"/>
        <v>300.00000000000182</v>
      </c>
    </row>
    <row r="31" spans="1:31" hidden="1" x14ac:dyDescent="0.2">
      <c r="A31" s="95">
        <f t="shared" si="0"/>
        <v>29</v>
      </c>
      <c r="B31" s="21">
        <v>29</v>
      </c>
      <c r="C31" s="108"/>
      <c r="D31" s="109"/>
      <c r="E31" s="110"/>
      <c r="F31" s="18"/>
      <c r="G31" s="14"/>
      <c r="H31" s="2"/>
      <c r="I31" s="20"/>
      <c r="J31" s="15"/>
      <c r="K31" s="5"/>
      <c r="L31" s="5"/>
      <c r="M31" s="5"/>
      <c r="N31" s="5"/>
      <c r="O31" s="5"/>
      <c r="P31" s="32"/>
      <c r="Q31" s="33">
        <f t="shared" si="1"/>
        <v>0</v>
      </c>
      <c r="R31" s="1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3">
        <f t="shared" si="2"/>
        <v>0</v>
      </c>
      <c r="AE31" s="33">
        <f t="shared" si="3"/>
        <v>0</v>
      </c>
    </row>
    <row r="32" spans="1:31" x14ac:dyDescent="0.2">
      <c r="A32" s="95">
        <f t="shared" si="0"/>
        <v>30</v>
      </c>
      <c r="B32" s="21">
        <v>30</v>
      </c>
      <c r="C32" s="84" t="s">
        <v>215</v>
      </c>
      <c r="D32" s="46" t="s">
        <v>240</v>
      </c>
      <c r="E32" s="29">
        <v>41566</v>
      </c>
      <c r="F32" s="18">
        <v>11</v>
      </c>
      <c r="G32" s="37">
        <v>12</v>
      </c>
      <c r="H32" s="37">
        <f>G32-F32+1</f>
        <v>2</v>
      </c>
      <c r="I32" s="40">
        <f t="shared" ref="I32:I41" si="6">SUM(H32*$I$1)+300</f>
        <v>3280.46</v>
      </c>
      <c r="J32" s="16"/>
      <c r="K32" s="35"/>
      <c r="L32" s="35"/>
      <c r="M32" s="35"/>
      <c r="N32" s="35"/>
      <c r="O32" s="5"/>
      <c r="P32" s="117"/>
      <c r="Q32" s="120">
        <f t="shared" si="1"/>
        <v>3280.46</v>
      </c>
      <c r="R32" s="1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3">
        <f t="shared" si="2"/>
        <v>0</v>
      </c>
      <c r="AE32" s="107">
        <f t="shared" si="3"/>
        <v>3280.46</v>
      </c>
    </row>
    <row r="33" spans="1:31" x14ac:dyDescent="0.2">
      <c r="A33" s="94">
        <f t="shared" si="0"/>
        <v>31</v>
      </c>
      <c r="B33" s="21">
        <v>31</v>
      </c>
      <c r="C33" s="112" t="s">
        <v>216</v>
      </c>
      <c r="D33" s="109"/>
      <c r="E33" s="110"/>
      <c r="F33" s="18">
        <v>11</v>
      </c>
      <c r="G33" s="37">
        <v>12</v>
      </c>
      <c r="H33" s="37">
        <f t="shared" ref="H33:H41" si="7">SUM(G33-F33)+1</f>
        <v>2</v>
      </c>
      <c r="I33" s="40">
        <f t="shared" si="6"/>
        <v>3280.46</v>
      </c>
      <c r="J33" s="16"/>
      <c r="K33" s="35"/>
      <c r="L33" s="35"/>
      <c r="M33" s="35"/>
      <c r="N33" s="35"/>
      <c r="O33" s="159"/>
      <c r="P33" s="160"/>
      <c r="Q33" s="120">
        <f t="shared" si="1"/>
        <v>3280.46</v>
      </c>
      <c r="R33" s="1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3">
        <f t="shared" si="2"/>
        <v>0</v>
      </c>
      <c r="AE33" s="107">
        <f t="shared" si="3"/>
        <v>3280.46</v>
      </c>
    </row>
    <row r="34" spans="1:31" x14ac:dyDescent="0.2">
      <c r="A34" s="95">
        <f t="shared" si="0"/>
        <v>32</v>
      </c>
      <c r="B34" s="21">
        <v>32</v>
      </c>
      <c r="C34" s="85" t="s">
        <v>213</v>
      </c>
      <c r="D34" s="46" t="s">
        <v>266</v>
      </c>
      <c r="E34" s="29">
        <v>41481</v>
      </c>
      <c r="F34" s="28">
        <v>8</v>
      </c>
      <c r="G34" s="37">
        <v>12</v>
      </c>
      <c r="H34" s="37">
        <f t="shared" si="7"/>
        <v>5</v>
      </c>
      <c r="I34" s="40">
        <f t="shared" si="6"/>
        <v>7751.15</v>
      </c>
      <c r="J34" s="16"/>
      <c r="K34" s="35"/>
      <c r="L34" s="23"/>
      <c r="M34" s="23"/>
      <c r="N34" s="23"/>
      <c r="O34" s="23"/>
      <c r="P34" s="160">
        <v>7451.15</v>
      </c>
      <c r="Q34" s="120">
        <f t="shared" si="1"/>
        <v>300</v>
      </c>
      <c r="R34" s="1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3">
        <f t="shared" si="2"/>
        <v>0</v>
      </c>
      <c r="AE34" s="107">
        <f t="shared" si="3"/>
        <v>300</v>
      </c>
    </row>
    <row r="35" spans="1:31" x14ac:dyDescent="0.2">
      <c r="A35" s="95">
        <f t="shared" si="0"/>
        <v>33</v>
      </c>
      <c r="B35" s="21">
        <v>33</v>
      </c>
      <c r="C35" s="111" t="s">
        <v>155</v>
      </c>
      <c r="D35" s="50"/>
      <c r="E35" s="51"/>
      <c r="F35" s="28">
        <v>6</v>
      </c>
      <c r="G35" s="37">
        <v>12</v>
      </c>
      <c r="H35" s="37">
        <f t="shared" si="7"/>
        <v>7</v>
      </c>
      <c r="I35" s="40">
        <f t="shared" si="6"/>
        <v>10731.61</v>
      </c>
      <c r="J35" s="15"/>
      <c r="K35" s="5"/>
      <c r="L35" s="5"/>
      <c r="M35" s="5"/>
      <c r="N35" s="5"/>
      <c r="O35" s="5"/>
      <c r="P35" s="117"/>
      <c r="Q35" s="120">
        <f t="shared" si="1"/>
        <v>10731.61</v>
      </c>
      <c r="R35" s="1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3">
        <f t="shared" ref="AD35:AD66" si="8">SUM(R35:AC35)</f>
        <v>0</v>
      </c>
      <c r="AE35" s="107">
        <f t="shared" si="3"/>
        <v>10731.61</v>
      </c>
    </row>
    <row r="36" spans="1:31" x14ac:dyDescent="0.2">
      <c r="A36" s="95">
        <f t="shared" si="0"/>
        <v>34</v>
      </c>
      <c r="B36" s="21">
        <v>34</v>
      </c>
      <c r="C36" s="112" t="s">
        <v>247</v>
      </c>
      <c r="D36" s="109"/>
      <c r="E36" s="110"/>
      <c r="F36" s="18">
        <v>12</v>
      </c>
      <c r="G36" s="14">
        <v>12</v>
      </c>
      <c r="H36" s="37">
        <f t="shared" si="7"/>
        <v>1</v>
      </c>
      <c r="I36" s="40">
        <f t="shared" si="6"/>
        <v>1790.23</v>
      </c>
      <c r="J36" s="16"/>
      <c r="K36" s="16"/>
      <c r="L36" s="35"/>
      <c r="M36" s="35"/>
      <c r="N36" s="35"/>
      <c r="O36" s="35"/>
      <c r="P36" s="118">
        <v>1790.23</v>
      </c>
      <c r="Q36" s="122">
        <f t="shared" si="1"/>
        <v>0</v>
      </c>
      <c r="R36" s="1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3">
        <f t="shared" si="8"/>
        <v>0</v>
      </c>
      <c r="AE36" s="33">
        <f t="shared" si="3"/>
        <v>0</v>
      </c>
    </row>
    <row r="37" spans="1:31" x14ac:dyDescent="0.2">
      <c r="A37" s="95">
        <f t="shared" si="0"/>
        <v>35</v>
      </c>
      <c r="B37" s="21">
        <v>35</v>
      </c>
      <c r="C37" s="81" t="s">
        <v>156</v>
      </c>
      <c r="D37" s="46" t="s">
        <v>267</v>
      </c>
      <c r="E37" s="29">
        <v>41483</v>
      </c>
      <c r="F37" s="28">
        <v>8</v>
      </c>
      <c r="G37" s="37">
        <v>12</v>
      </c>
      <c r="H37" s="37">
        <f t="shared" si="7"/>
        <v>5</v>
      </c>
      <c r="I37" s="40">
        <f t="shared" si="6"/>
        <v>7751.15</v>
      </c>
      <c r="J37" s="16"/>
      <c r="K37" s="35"/>
      <c r="L37" s="23"/>
      <c r="M37" s="23"/>
      <c r="N37" s="23"/>
      <c r="O37" s="23"/>
      <c r="P37" s="118">
        <v>10000</v>
      </c>
      <c r="Q37" s="120">
        <f t="shared" si="1"/>
        <v>-2248.8500000000004</v>
      </c>
      <c r="R37" s="1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3">
        <f t="shared" si="8"/>
        <v>0</v>
      </c>
      <c r="AE37" s="107">
        <f t="shared" si="3"/>
        <v>-2248.8500000000004</v>
      </c>
    </row>
    <row r="38" spans="1:31" x14ac:dyDescent="0.2">
      <c r="A38" s="95">
        <f t="shared" si="0"/>
        <v>36</v>
      </c>
      <c r="B38" s="21">
        <v>36</v>
      </c>
      <c r="C38" s="81" t="s">
        <v>157</v>
      </c>
      <c r="D38" s="46" t="s">
        <v>187</v>
      </c>
      <c r="E38" s="29">
        <v>41481</v>
      </c>
      <c r="F38" s="28">
        <v>6</v>
      </c>
      <c r="G38" s="37">
        <v>12</v>
      </c>
      <c r="H38" s="37">
        <f t="shared" si="7"/>
        <v>7</v>
      </c>
      <c r="I38" s="40">
        <f t="shared" si="6"/>
        <v>10731.61</v>
      </c>
      <c r="J38" s="24"/>
      <c r="K38" s="23"/>
      <c r="L38" s="23"/>
      <c r="M38" s="23"/>
      <c r="N38" s="5">
        <v>6932.4</v>
      </c>
      <c r="O38" s="5"/>
      <c r="P38" s="117">
        <f>2008.98+1991.02</f>
        <v>4000</v>
      </c>
      <c r="Q38" s="120">
        <f t="shared" si="1"/>
        <v>-200.78999999999905</v>
      </c>
      <c r="R38" s="1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3">
        <f t="shared" si="8"/>
        <v>0</v>
      </c>
      <c r="AE38" s="107">
        <f t="shared" si="3"/>
        <v>-200.78999999999905</v>
      </c>
    </row>
    <row r="39" spans="1:31" x14ac:dyDescent="0.2">
      <c r="A39" s="95">
        <f t="shared" si="0"/>
        <v>37</v>
      </c>
      <c r="B39" s="21">
        <v>37</v>
      </c>
      <c r="C39" s="81" t="s">
        <v>158</v>
      </c>
      <c r="D39" s="46" t="s">
        <v>259</v>
      </c>
      <c r="E39" s="29">
        <v>41426</v>
      </c>
      <c r="F39" s="28">
        <v>6</v>
      </c>
      <c r="G39" s="37">
        <v>12</v>
      </c>
      <c r="H39" s="37">
        <f t="shared" si="7"/>
        <v>7</v>
      </c>
      <c r="I39" s="40">
        <f t="shared" si="6"/>
        <v>10731.61</v>
      </c>
      <c r="J39" s="24"/>
      <c r="K39" s="23"/>
      <c r="L39" s="23"/>
      <c r="M39" s="23"/>
      <c r="N39" s="23"/>
      <c r="O39" s="23"/>
      <c r="P39" s="118">
        <f>1490.23+7451.15+1790.22</f>
        <v>10731.599999999999</v>
      </c>
      <c r="Q39" s="120">
        <f t="shared" si="1"/>
        <v>1.0000000002037268E-2</v>
      </c>
      <c r="R39" s="1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3">
        <f t="shared" si="8"/>
        <v>0</v>
      </c>
      <c r="AE39" s="107">
        <f t="shared" si="3"/>
        <v>1.0000000002037268E-2</v>
      </c>
    </row>
    <row r="40" spans="1:31" x14ac:dyDescent="0.2">
      <c r="A40" s="95">
        <f t="shared" si="0"/>
        <v>38</v>
      </c>
      <c r="B40" s="21">
        <v>38</v>
      </c>
      <c r="C40" s="82" t="s">
        <v>32</v>
      </c>
      <c r="D40" s="8" t="s">
        <v>58</v>
      </c>
      <c r="E40" s="29">
        <v>41444</v>
      </c>
      <c r="F40" s="28">
        <v>6</v>
      </c>
      <c r="G40" s="37">
        <v>12</v>
      </c>
      <c r="H40" s="37">
        <f t="shared" si="7"/>
        <v>7</v>
      </c>
      <c r="I40" s="40">
        <f t="shared" si="6"/>
        <v>10731.61</v>
      </c>
      <c r="J40" s="24"/>
      <c r="K40" s="23"/>
      <c r="L40" s="23"/>
      <c r="M40" s="23"/>
      <c r="N40" s="23"/>
      <c r="O40" s="23">
        <v>8941.3799999999992</v>
      </c>
      <c r="P40" s="118">
        <v>3580</v>
      </c>
      <c r="Q40" s="120">
        <f t="shared" si="1"/>
        <v>-1789.7699999999986</v>
      </c>
      <c r="R40" s="1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3">
        <f t="shared" si="8"/>
        <v>0</v>
      </c>
      <c r="AE40" s="107">
        <f t="shared" si="3"/>
        <v>-1789.7699999999986</v>
      </c>
    </row>
    <row r="41" spans="1:31" x14ac:dyDescent="0.2">
      <c r="A41" s="95">
        <f t="shared" si="0"/>
        <v>39</v>
      </c>
      <c r="B41" s="21">
        <v>39</v>
      </c>
      <c r="C41" s="81" t="s">
        <v>104</v>
      </c>
      <c r="D41" s="46" t="s">
        <v>237</v>
      </c>
      <c r="E41" s="29">
        <v>41540</v>
      </c>
      <c r="F41" s="28">
        <v>6</v>
      </c>
      <c r="G41" s="37">
        <v>12</v>
      </c>
      <c r="H41" s="37">
        <f t="shared" si="7"/>
        <v>7</v>
      </c>
      <c r="I41" s="40">
        <f t="shared" si="6"/>
        <v>10731.61</v>
      </c>
      <c r="J41" s="24"/>
      <c r="K41" s="23"/>
      <c r="L41" s="23"/>
      <c r="M41" s="23"/>
      <c r="N41" s="23"/>
      <c r="O41" s="159">
        <v>2980.46</v>
      </c>
      <c r="P41" s="160">
        <f>1490.23+1490.23+1490.23</f>
        <v>4470.6900000000005</v>
      </c>
      <c r="Q41" s="120">
        <f t="shared" si="1"/>
        <v>3280.46</v>
      </c>
      <c r="R41" s="1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3">
        <f t="shared" si="8"/>
        <v>0</v>
      </c>
      <c r="AE41" s="107">
        <f t="shared" si="3"/>
        <v>3280.46</v>
      </c>
    </row>
    <row r="42" spans="1:31" x14ac:dyDescent="0.2">
      <c r="A42" s="95">
        <f t="shared" si="0"/>
        <v>40</v>
      </c>
      <c r="B42" s="21">
        <v>40</v>
      </c>
      <c r="C42" s="98" t="s">
        <v>277</v>
      </c>
      <c r="D42" s="50"/>
      <c r="E42" s="51"/>
      <c r="F42" s="28">
        <v>12</v>
      </c>
      <c r="G42" s="37">
        <v>12</v>
      </c>
      <c r="H42" s="37">
        <v>0</v>
      </c>
      <c r="I42" s="40">
        <v>0</v>
      </c>
      <c r="J42" s="16"/>
      <c r="K42" s="35"/>
      <c r="L42" s="35"/>
      <c r="M42" s="35"/>
      <c r="N42" s="35"/>
      <c r="O42" s="35"/>
      <c r="P42" s="136"/>
      <c r="Q42" s="120">
        <f t="shared" si="1"/>
        <v>0</v>
      </c>
      <c r="R42" s="1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3">
        <f t="shared" si="8"/>
        <v>0</v>
      </c>
      <c r="AE42" s="107">
        <f t="shared" si="3"/>
        <v>0</v>
      </c>
    </row>
    <row r="43" spans="1:31" x14ac:dyDescent="0.2">
      <c r="A43" s="94">
        <f t="shared" si="0"/>
        <v>41</v>
      </c>
      <c r="B43" s="21">
        <v>41</v>
      </c>
      <c r="C43" s="111" t="s">
        <v>106</v>
      </c>
      <c r="D43" s="50"/>
      <c r="E43" s="51"/>
      <c r="F43" s="26">
        <v>6</v>
      </c>
      <c r="G43" s="27">
        <v>12</v>
      </c>
      <c r="H43" s="37">
        <f>SUM(G43-F43)+1</f>
        <v>7</v>
      </c>
      <c r="I43" s="40">
        <f>SUM(H43*$I$1)+300</f>
        <v>10731.61</v>
      </c>
      <c r="J43" s="15"/>
      <c r="K43" s="5"/>
      <c r="L43" s="5"/>
      <c r="M43" s="5"/>
      <c r="N43" s="5"/>
      <c r="O43" s="5"/>
      <c r="P43" s="117"/>
      <c r="Q43" s="120">
        <f t="shared" si="1"/>
        <v>10731.61</v>
      </c>
      <c r="R43" s="1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3">
        <f t="shared" si="8"/>
        <v>0</v>
      </c>
      <c r="AE43" s="107">
        <f t="shared" si="3"/>
        <v>10731.61</v>
      </c>
    </row>
    <row r="44" spans="1:31" x14ac:dyDescent="0.2">
      <c r="A44" s="95">
        <f t="shared" si="0"/>
        <v>42</v>
      </c>
      <c r="B44" s="21">
        <v>42</v>
      </c>
      <c r="C44" s="86" t="s">
        <v>94</v>
      </c>
      <c r="D44" s="44" t="s">
        <v>182</v>
      </c>
      <c r="E44" s="45">
        <v>41477</v>
      </c>
      <c r="F44" s="28">
        <v>6</v>
      </c>
      <c r="G44" s="37">
        <v>12</v>
      </c>
      <c r="H44" s="37">
        <f>SUM(G44-F44)+1</f>
        <v>7</v>
      </c>
      <c r="I44" s="40">
        <f>SUM(H44*$I$1)+300</f>
        <v>10731.61</v>
      </c>
      <c r="J44" s="24"/>
      <c r="K44" s="23">
        <v>2980.46</v>
      </c>
      <c r="L44" s="23"/>
      <c r="M44" s="23"/>
      <c r="N44" s="23"/>
      <c r="O44" s="23"/>
      <c r="P44" s="118">
        <f>5960.92+1790.23</f>
        <v>7751.15</v>
      </c>
      <c r="Q44" s="120">
        <f t="shared" si="1"/>
        <v>0</v>
      </c>
      <c r="R44" s="1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3">
        <f t="shared" si="8"/>
        <v>0</v>
      </c>
      <c r="AE44" s="107">
        <f t="shared" si="3"/>
        <v>0</v>
      </c>
    </row>
    <row r="45" spans="1:31" x14ac:dyDescent="0.2">
      <c r="A45" s="95">
        <f t="shared" si="0"/>
        <v>43</v>
      </c>
      <c r="B45" s="21">
        <v>43</v>
      </c>
      <c r="C45" s="81" t="s">
        <v>107</v>
      </c>
      <c r="D45" s="46" t="s">
        <v>178</v>
      </c>
      <c r="E45" s="29">
        <v>41451</v>
      </c>
      <c r="F45" s="28">
        <v>6</v>
      </c>
      <c r="G45" s="37">
        <v>12</v>
      </c>
      <c r="H45" s="37">
        <f>SUM(G45-F45)+1</f>
        <v>7</v>
      </c>
      <c r="I45" s="40">
        <f>SUM(H45*$I$1)+300</f>
        <v>10731.61</v>
      </c>
      <c r="J45" s="15"/>
      <c r="K45" s="5"/>
      <c r="L45" s="5"/>
      <c r="M45" s="5"/>
      <c r="N45" s="5"/>
      <c r="O45" s="5"/>
      <c r="P45" s="117"/>
      <c r="Q45" s="120">
        <f t="shared" si="1"/>
        <v>10731.61</v>
      </c>
      <c r="R45" s="1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3">
        <f t="shared" si="8"/>
        <v>0</v>
      </c>
      <c r="AE45" s="107">
        <f t="shared" si="3"/>
        <v>10731.61</v>
      </c>
    </row>
    <row r="46" spans="1:31" hidden="1" x14ac:dyDescent="0.2">
      <c r="A46" s="95">
        <f t="shared" si="0"/>
        <v>44</v>
      </c>
      <c r="B46" s="21">
        <v>44</v>
      </c>
      <c r="C46" s="108"/>
      <c r="D46" s="109"/>
      <c r="E46" s="110"/>
      <c r="F46" s="18"/>
      <c r="G46" s="14"/>
      <c r="H46" s="2"/>
      <c r="I46" s="20"/>
      <c r="J46" s="15"/>
      <c r="K46" s="5"/>
      <c r="L46" s="5"/>
      <c r="M46" s="5"/>
      <c r="N46" s="5"/>
      <c r="O46" s="5"/>
      <c r="P46" s="32"/>
      <c r="Q46" s="33">
        <f t="shared" si="1"/>
        <v>0</v>
      </c>
      <c r="R46" s="1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3">
        <f t="shared" si="8"/>
        <v>0</v>
      </c>
      <c r="AE46" s="33">
        <f t="shared" si="3"/>
        <v>0</v>
      </c>
    </row>
    <row r="47" spans="1:31" x14ac:dyDescent="0.2">
      <c r="A47" s="95">
        <f t="shared" si="0"/>
        <v>45</v>
      </c>
      <c r="B47" s="21">
        <v>45</v>
      </c>
      <c r="C47" s="81" t="s">
        <v>108</v>
      </c>
      <c r="D47" s="46" t="s">
        <v>262</v>
      </c>
      <c r="E47" s="29">
        <v>41426</v>
      </c>
      <c r="F47" s="28">
        <v>6</v>
      </c>
      <c r="G47" s="37">
        <v>12</v>
      </c>
      <c r="H47" s="37">
        <f>SUM(G47-F47)+1</f>
        <v>7</v>
      </c>
      <c r="I47" s="40">
        <f>SUM(H47*$I$1)+300</f>
        <v>10731.61</v>
      </c>
      <c r="J47" s="15"/>
      <c r="K47" s="5"/>
      <c r="L47" s="5"/>
      <c r="M47" s="5"/>
      <c r="N47" s="5"/>
      <c r="O47" s="5"/>
      <c r="P47" s="117"/>
      <c r="Q47" s="120">
        <f t="shared" si="1"/>
        <v>10731.61</v>
      </c>
      <c r="R47" s="1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3">
        <f t="shared" si="8"/>
        <v>0</v>
      </c>
      <c r="AE47" s="107">
        <f t="shared" si="3"/>
        <v>10731.61</v>
      </c>
    </row>
    <row r="48" spans="1:31" hidden="1" x14ac:dyDescent="0.2">
      <c r="A48" s="95">
        <f t="shared" si="0"/>
        <v>46</v>
      </c>
      <c r="B48" s="21">
        <v>46</v>
      </c>
      <c r="C48" s="108"/>
      <c r="D48" s="109"/>
      <c r="E48" s="110"/>
      <c r="F48" s="18"/>
      <c r="G48" s="14"/>
      <c r="H48" s="2"/>
      <c r="I48" s="20"/>
      <c r="J48" s="15"/>
      <c r="K48" s="5"/>
      <c r="L48" s="5"/>
      <c r="M48" s="5"/>
      <c r="N48" s="5"/>
      <c r="O48" s="5"/>
      <c r="P48" s="32"/>
      <c r="Q48" s="33">
        <f t="shared" si="1"/>
        <v>0</v>
      </c>
      <c r="R48" s="1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3">
        <f t="shared" si="8"/>
        <v>0</v>
      </c>
      <c r="AE48" s="33">
        <f t="shared" si="3"/>
        <v>0</v>
      </c>
    </row>
    <row r="49" spans="1:31" x14ac:dyDescent="0.2">
      <c r="A49" s="95">
        <f t="shared" si="0"/>
        <v>47</v>
      </c>
      <c r="B49" s="21">
        <v>47</v>
      </c>
      <c r="C49" s="112" t="s">
        <v>217</v>
      </c>
      <c r="D49" s="109"/>
      <c r="E49" s="110"/>
      <c r="F49" s="18">
        <v>11</v>
      </c>
      <c r="G49" s="37">
        <v>12</v>
      </c>
      <c r="H49" s="37">
        <f>SUM(G49-F49)+1</f>
        <v>2</v>
      </c>
      <c r="I49" s="40">
        <f>SUM(H49*$I$1)+300</f>
        <v>3280.46</v>
      </c>
      <c r="J49" s="16"/>
      <c r="K49" s="35"/>
      <c r="L49" s="35"/>
      <c r="M49" s="35"/>
      <c r="N49" s="35"/>
      <c r="O49" s="159"/>
      <c r="P49" s="160"/>
      <c r="Q49" s="120">
        <f t="shared" si="1"/>
        <v>3280.46</v>
      </c>
      <c r="R49" s="1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3">
        <f t="shared" si="8"/>
        <v>0</v>
      </c>
      <c r="AE49" s="107">
        <f t="shared" si="3"/>
        <v>3280.46</v>
      </c>
    </row>
    <row r="50" spans="1:31" x14ac:dyDescent="0.2">
      <c r="A50" s="95">
        <f t="shared" si="0"/>
        <v>48</v>
      </c>
      <c r="B50" s="21">
        <v>48</v>
      </c>
      <c r="C50" s="112" t="s">
        <v>268</v>
      </c>
      <c r="D50" s="109"/>
      <c r="E50" s="110"/>
      <c r="F50" s="18">
        <v>12</v>
      </c>
      <c r="G50" s="14">
        <v>12</v>
      </c>
      <c r="H50" s="37">
        <f>SUM(G50-F50)+1</f>
        <v>1</v>
      </c>
      <c r="I50" s="40">
        <f>SUM(H50*$I$1)+300</f>
        <v>1790.23</v>
      </c>
      <c r="J50" s="16"/>
      <c r="K50" s="35"/>
      <c r="L50" s="35"/>
      <c r="M50" s="35"/>
      <c r="N50" s="35"/>
      <c r="O50" s="35"/>
      <c r="P50" s="165"/>
      <c r="Q50" s="33">
        <v>0</v>
      </c>
      <c r="R50" s="1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3">
        <f t="shared" si="8"/>
        <v>0</v>
      </c>
      <c r="AE50" s="33">
        <f t="shared" si="3"/>
        <v>0</v>
      </c>
    </row>
    <row r="51" spans="1:31" hidden="1" x14ac:dyDescent="0.2">
      <c r="A51" s="95">
        <f t="shared" si="0"/>
        <v>49</v>
      </c>
      <c r="B51" s="21">
        <v>49</v>
      </c>
      <c r="C51" s="108"/>
      <c r="D51" s="109"/>
      <c r="E51" s="110"/>
      <c r="F51" s="18"/>
      <c r="G51" s="14"/>
      <c r="H51" s="2"/>
      <c r="I51" s="20"/>
      <c r="J51" s="15"/>
      <c r="K51" s="5"/>
      <c r="L51" s="5"/>
      <c r="M51" s="5"/>
      <c r="N51" s="5"/>
      <c r="O51" s="5"/>
      <c r="P51" s="32"/>
      <c r="Q51" s="33">
        <f t="shared" ref="Q51:Q82" si="9">SUM(I51-(J51+K51+L51+M51+N51+O51+P51))</f>
        <v>0</v>
      </c>
      <c r="R51" s="1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3">
        <f t="shared" si="8"/>
        <v>0</v>
      </c>
      <c r="AE51" s="33">
        <f t="shared" si="3"/>
        <v>0</v>
      </c>
    </row>
    <row r="52" spans="1:31" hidden="1" x14ac:dyDescent="0.2">
      <c r="A52" s="95">
        <f t="shared" si="0"/>
        <v>50</v>
      </c>
      <c r="B52" s="21">
        <v>50</v>
      </c>
      <c r="C52" s="108"/>
      <c r="D52" s="109"/>
      <c r="E52" s="110"/>
      <c r="F52" s="18"/>
      <c r="G52" s="14"/>
      <c r="H52" s="2"/>
      <c r="I52" s="20"/>
      <c r="J52" s="15"/>
      <c r="K52" s="5"/>
      <c r="L52" s="5"/>
      <c r="M52" s="5"/>
      <c r="N52" s="5"/>
      <c r="O52" s="5"/>
      <c r="P52" s="32"/>
      <c r="Q52" s="33">
        <f t="shared" si="9"/>
        <v>0</v>
      </c>
      <c r="R52" s="1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3">
        <f t="shared" si="8"/>
        <v>0</v>
      </c>
      <c r="AE52" s="33">
        <f t="shared" si="3"/>
        <v>0</v>
      </c>
    </row>
    <row r="53" spans="1:31" x14ac:dyDescent="0.2">
      <c r="A53" s="94">
        <f t="shared" si="0"/>
        <v>51</v>
      </c>
      <c r="B53" s="22">
        <v>51</v>
      </c>
      <c r="C53" s="85" t="s">
        <v>200</v>
      </c>
      <c r="D53" s="8" t="s">
        <v>26</v>
      </c>
      <c r="E53" s="29">
        <v>41424</v>
      </c>
      <c r="F53" s="28">
        <v>6</v>
      </c>
      <c r="G53" s="37">
        <v>12</v>
      </c>
      <c r="H53" s="37">
        <f>SUM(G53-F53)+1</f>
        <v>7</v>
      </c>
      <c r="I53" s="40">
        <f>SUM(H53*$I$1)+300</f>
        <v>10731.61</v>
      </c>
      <c r="J53" s="24"/>
      <c r="K53" s="23"/>
      <c r="L53" s="23"/>
      <c r="M53" s="23"/>
      <c r="N53" s="23"/>
      <c r="O53" s="23"/>
      <c r="P53" s="118">
        <f>8941.38+2058.62</f>
        <v>11000</v>
      </c>
      <c r="Q53" s="120">
        <f t="shared" si="9"/>
        <v>-268.38999999999942</v>
      </c>
      <c r="R53" s="1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3">
        <f t="shared" si="8"/>
        <v>0</v>
      </c>
      <c r="AE53" s="107">
        <f t="shared" si="3"/>
        <v>-268.38999999999942</v>
      </c>
    </row>
    <row r="54" spans="1:31" x14ac:dyDescent="0.2">
      <c r="A54" s="95">
        <f t="shared" si="0"/>
        <v>52</v>
      </c>
      <c r="B54" s="21">
        <v>52</v>
      </c>
      <c r="C54" s="112" t="s">
        <v>218</v>
      </c>
      <c r="D54" s="109"/>
      <c r="E54" s="110"/>
      <c r="F54" s="18">
        <v>10</v>
      </c>
      <c r="G54" s="14">
        <v>12</v>
      </c>
      <c r="H54" s="37">
        <f>SUM(G54-F54)+1</f>
        <v>3</v>
      </c>
      <c r="I54" s="40">
        <f>SUM(H54*$I$1)+300</f>
        <v>4770.6900000000005</v>
      </c>
      <c r="J54" s="16"/>
      <c r="K54" s="35"/>
      <c r="L54" s="35"/>
      <c r="M54" s="35"/>
      <c r="N54" s="23"/>
      <c r="O54" s="23"/>
      <c r="P54" s="118">
        <f>2980.46+7751.15</f>
        <v>10731.61</v>
      </c>
      <c r="Q54" s="120">
        <f t="shared" si="9"/>
        <v>-5960.92</v>
      </c>
      <c r="R54" s="1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3">
        <f t="shared" si="8"/>
        <v>0</v>
      </c>
      <c r="AE54" s="107">
        <f t="shared" si="3"/>
        <v>-5960.92</v>
      </c>
    </row>
    <row r="55" spans="1:31" x14ac:dyDescent="0.2">
      <c r="A55" s="95">
        <f t="shared" si="0"/>
        <v>53</v>
      </c>
      <c r="B55" s="21">
        <v>53</v>
      </c>
      <c r="C55" s="84" t="s">
        <v>246</v>
      </c>
      <c r="D55" s="46" t="s">
        <v>257</v>
      </c>
      <c r="E55" s="29">
        <v>41593</v>
      </c>
      <c r="F55" s="18">
        <v>11</v>
      </c>
      <c r="G55" s="14">
        <v>12</v>
      </c>
      <c r="H55" s="37">
        <f>SUM(G55-F55)+1</f>
        <v>2</v>
      </c>
      <c r="I55" s="40">
        <f>SUM(H55*$I$1)+300</f>
        <v>3280.46</v>
      </c>
      <c r="J55" s="16"/>
      <c r="K55" s="35"/>
      <c r="L55" s="35"/>
      <c r="M55" s="35"/>
      <c r="N55" s="35"/>
      <c r="O55" s="23"/>
      <c r="P55" s="160">
        <v>1800</v>
      </c>
      <c r="Q55" s="122">
        <f t="shared" si="9"/>
        <v>1480.46</v>
      </c>
      <c r="R55" s="1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3">
        <f t="shared" si="8"/>
        <v>0</v>
      </c>
      <c r="AE55" s="33">
        <f t="shared" si="3"/>
        <v>1480.46</v>
      </c>
    </row>
    <row r="56" spans="1:31" x14ac:dyDescent="0.2">
      <c r="A56" s="95">
        <f t="shared" si="0"/>
        <v>54</v>
      </c>
      <c r="B56" s="21">
        <v>54</v>
      </c>
      <c r="C56" s="84" t="s">
        <v>245</v>
      </c>
      <c r="D56" s="46" t="s">
        <v>255</v>
      </c>
      <c r="E56" s="29">
        <v>41593</v>
      </c>
      <c r="F56" s="18">
        <v>11</v>
      </c>
      <c r="G56" s="14">
        <v>12</v>
      </c>
      <c r="H56" s="37">
        <f>SUM(G56-F56)+1</f>
        <v>2</v>
      </c>
      <c r="I56" s="40">
        <f>SUM(H56*$I$1)+300</f>
        <v>3280.46</v>
      </c>
      <c r="J56" s="16"/>
      <c r="K56" s="35"/>
      <c r="L56" s="35"/>
      <c r="M56" s="35"/>
      <c r="N56" s="35"/>
      <c r="O56" s="23"/>
      <c r="P56" s="118">
        <v>3600</v>
      </c>
      <c r="Q56" s="122">
        <f t="shared" si="9"/>
        <v>-319.53999999999996</v>
      </c>
      <c r="R56" s="1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3">
        <f t="shared" si="8"/>
        <v>0</v>
      </c>
      <c r="AE56" s="33">
        <f t="shared" si="3"/>
        <v>-319.53999999999996</v>
      </c>
    </row>
    <row r="57" spans="1:31" x14ac:dyDescent="0.2">
      <c r="A57" s="95">
        <f t="shared" si="0"/>
        <v>55</v>
      </c>
      <c r="B57" s="21">
        <v>55</v>
      </c>
      <c r="C57" s="84" t="s">
        <v>244</v>
      </c>
      <c r="D57" s="46" t="s">
        <v>256</v>
      </c>
      <c r="E57" s="29">
        <v>41593</v>
      </c>
      <c r="F57" s="18">
        <v>11</v>
      </c>
      <c r="G57" s="14">
        <v>12</v>
      </c>
      <c r="H57" s="37">
        <f>SUM(G57-F57)+1</f>
        <v>2</v>
      </c>
      <c r="I57" s="40">
        <f>SUM(H57*$I$1)+300</f>
        <v>3280.46</v>
      </c>
      <c r="J57" s="16"/>
      <c r="K57" s="35"/>
      <c r="L57" s="35"/>
      <c r="M57" s="35"/>
      <c r="N57" s="35"/>
      <c r="O57" s="159"/>
      <c r="P57" s="118">
        <v>1790.23</v>
      </c>
      <c r="Q57" s="122">
        <f t="shared" si="9"/>
        <v>1490.23</v>
      </c>
      <c r="R57" s="1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3">
        <f t="shared" si="8"/>
        <v>0</v>
      </c>
      <c r="AE57" s="33">
        <f t="shared" si="3"/>
        <v>1490.23</v>
      </c>
    </row>
    <row r="58" spans="1:31" hidden="1" x14ac:dyDescent="0.2">
      <c r="A58" s="95">
        <f t="shared" si="0"/>
        <v>56</v>
      </c>
      <c r="B58" s="21">
        <v>56</v>
      </c>
      <c r="C58" s="108"/>
      <c r="D58" s="109"/>
      <c r="E58" s="110"/>
      <c r="F58" s="18"/>
      <c r="G58" s="14"/>
      <c r="H58" s="2"/>
      <c r="I58" s="20"/>
      <c r="J58" s="15"/>
      <c r="K58" s="5"/>
      <c r="L58" s="5"/>
      <c r="M58" s="5"/>
      <c r="N58" s="5"/>
      <c r="O58" s="5"/>
      <c r="P58" s="32"/>
      <c r="Q58" s="33">
        <f t="shared" si="9"/>
        <v>0</v>
      </c>
      <c r="R58" s="1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3">
        <f t="shared" si="8"/>
        <v>0</v>
      </c>
      <c r="AE58" s="33">
        <f t="shared" si="3"/>
        <v>0</v>
      </c>
    </row>
    <row r="59" spans="1:31" hidden="1" x14ac:dyDescent="0.2">
      <c r="A59" s="95">
        <f t="shared" si="0"/>
        <v>57</v>
      </c>
      <c r="B59" s="21">
        <v>57</v>
      </c>
      <c r="C59" s="108"/>
      <c r="D59" s="109"/>
      <c r="E59" s="110"/>
      <c r="F59" s="18"/>
      <c r="G59" s="14"/>
      <c r="H59" s="2"/>
      <c r="I59" s="20"/>
      <c r="J59" s="15"/>
      <c r="K59" s="5"/>
      <c r="L59" s="5"/>
      <c r="M59" s="5"/>
      <c r="N59" s="5"/>
      <c r="O59" s="5"/>
      <c r="P59" s="32"/>
      <c r="Q59" s="33">
        <f t="shared" si="9"/>
        <v>0</v>
      </c>
      <c r="R59" s="1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3">
        <f t="shared" si="8"/>
        <v>0</v>
      </c>
      <c r="AE59" s="33">
        <f t="shared" si="3"/>
        <v>0</v>
      </c>
    </row>
    <row r="60" spans="1:31" hidden="1" x14ac:dyDescent="0.2">
      <c r="A60" s="95">
        <f t="shared" si="0"/>
        <v>58</v>
      </c>
      <c r="B60" s="21">
        <v>58</v>
      </c>
      <c r="C60" s="108"/>
      <c r="D60" s="109"/>
      <c r="E60" s="110"/>
      <c r="F60" s="18"/>
      <c r="G60" s="14"/>
      <c r="H60" s="2"/>
      <c r="I60" s="20"/>
      <c r="J60" s="15"/>
      <c r="K60" s="5"/>
      <c r="L60" s="5"/>
      <c r="M60" s="5"/>
      <c r="N60" s="5"/>
      <c r="O60" s="5"/>
      <c r="P60" s="32"/>
      <c r="Q60" s="33">
        <f t="shared" si="9"/>
        <v>0</v>
      </c>
      <c r="R60" s="1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3">
        <f t="shared" si="8"/>
        <v>0</v>
      </c>
      <c r="AE60" s="33">
        <f t="shared" si="3"/>
        <v>0</v>
      </c>
    </row>
    <row r="61" spans="1:31" hidden="1" x14ac:dyDescent="0.2">
      <c r="A61" s="95">
        <f t="shared" si="0"/>
        <v>59</v>
      </c>
      <c r="B61" s="21">
        <v>59</v>
      </c>
      <c r="C61" s="108"/>
      <c r="D61" s="109"/>
      <c r="E61" s="110"/>
      <c r="F61" s="18"/>
      <c r="G61" s="14"/>
      <c r="H61" s="2"/>
      <c r="I61" s="20"/>
      <c r="J61" s="15"/>
      <c r="K61" s="5"/>
      <c r="L61" s="5"/>
      <c r="M61" s="5"/>
      <c r="N61" s="5"/>
      <c r="O61" s="5"/>
      <c r="P61" s="32"/>
      <c r="Q61" s="33">
        <f t="shared" si="9"/>
        <v>0</v>
      </c>
      <c r="R61" s="1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3">
        <f t="shared" si="8"/>
        <v>0</v>
      </c>
      <c r="AE61" s="33">
        <f t="shared" si="3"/>
        <v>0</v>
      </c>
    </row>
    <row r="62" spans="1:31" hidden="1" x14ac:dyDescent="0.2">
      <c r="A62" s="95">
        <f t="shared" si="0"/>
        <v>60</v>
      </c>
      <c r="B62" s="21">
        <v>60</v>
      </c>
      <c r="C62" s="108"/>
      <c r="D62" s="109"/>
      <c r="E62" s="110"/>
      <c r="F62" s="18"/>
      <c r="G62" s="14"/>
      <c r="H62" s="2"/>
      <c r="I62" s="20"/>
      <c r="J62" s="15"/>
      <c r="K62" s="5"/>
      <c r="L62" s="5"/>
      <c r="M62" s="5"/>
      <c r="N62" s="5"/>
      <c r="O62" s="5"/>
      <c r="P62" s="32"/>
      <c r="Q62" s="33">
        <f t="shared" si="9"/>
        <v>0</v>
      </c>
      <c r="R62" s="1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3">
        <f t="shared" si="8"/>
        <v>0</v>
      </c>
      <c r="AE62" s="33">
        <f t="shared" si="3"/>
        <v>0</v>
      </c>
    </row>
    <row r="63" spans="1:31" hidden="1" x14ac:dyDescent="0.2">
      <c r="A63" s="94">
        <f t="shared" si="0"/>
        <v>61</v>
      </c>
      <c r="B63" s="21">
        <v>61</v>
      </c>
      <c r="C63" s="108"/>
      <c r="D63" s="109"/>
      <c r="E63" s="110"/>
      <c r="F63" s="18"/>
      <c r="G63" s="14"/>
      <c r="H63" s="2"/>
      <c r="I63" s="20"/>
      <c r="J63" s="15"/>
      <c r="K63" s="5"/>
      <c r="L63" s="5"/>
      <c r="M63" s="5"/>
      <c r="N63" s="5"/>
      <c r="O63" s="5"/>
      <c r="P63" s="32"/>
      <c r="Q63" s="33">
        <f t="shared" si="9"/>
        <v>0</v>
      </c>
      <c r="R63" s="1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3">
        <f t="shared" si="8"/>
        <v>0</v>
      </c>
      <c r="AE63" s="33">
        <f t="shared" si="3"/>
        <v>0</v>
      </c>
    </row>
    <row r="64" spans="1:31" hidden="1" x14ac:dyDescent="0.2">
      <c r="A64" s="95">
        <f t="shared" si="0"/>
        <v>62</v>
      </c>
      <c r="B64" s="21">
        <v>62</v>
      </c>
      <c r="C64" s="108"/>
      <c r="D64" s="109"/>
      <c r="E64" s="110"/>
      <c r="F64" s="18"/>
      <c r="G64" s="14"/>
      <c r="H64" s="2"/>
      <c r="I64" s="20"/>
      <c r="J64" s="15"/>
      <c r="K64" s="5"/>
      <c r="L64" s="5"/>
      <c r="M64" s="5"/>
      <c r="N64" s="5"/>
      <c r="O64" s="5"/>
      <c r="P64" s="32"/>
      <c r="Q64" s="33">
        <f t="shared" si="9"/>
        <v>0</v>
      </c>
      <c r="R64" s="1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3">
        <f t="shared" si="8"/>
        <v>0</v>
      </c>
      <c r="AE64" s="33">
        <f t="shared" si="3"/>
        <v>0</v>
      </c>
    </row>
    <row r="65" spans="1:31" hidden="1" x14ac:dyDescent="0.2">
      <c r="A65" s="95">
        <f t="shared" si="0"/>
        <v>63</v>
      </c>
      <c r="B65" s="21">
        <v>63</v>
      </c>
      <c r="C65" s="108"/>
      <c r="D65" s="109"/>
      <c r="E65" s="110"/>
      <c r="F65" s="18"/>
      <c r="G65" s="14"/>
      <c r="H65" s="2"/>
      <c r="I65" s="20"/>
      <c r="J65" s="15"/>
      <c r="K65" s="5"/>
      <c r="L65" s="5"/>
      <c r="M65" s="5"/>
      <c r="N65" s="5"/>
      <c r="O65" s="5"/>
      <c r="P65" s="32"/>
      <c r="Q65" s="33">
        <f t="shared" si="9"/>
        <v>0</v>
      </c>
      <c r="R65" s="1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3">
        <f t="shared" si="8"/>
        <v>0</v>
      </c>
      <c r="AE65" s="33">
        <f t="shared" si="3"/>
        <v>0</v>
      </c>
    </row>
    <row r="66" spans="1:31" hidden="1" x14ac:dyDescent="0.2">
      <c r="A66" s="95">
        <f t="shared" si="0"/>
        <v>64</v>
      </c>
      <c r="B66" s="21">
        <v>64</v>
      </c>
      <c r="C66" s="108"/>
      <c r="D66" s="109"/>
      <c r="E66" s="110"/>
      <c r="F66" s="18"/>
      <c r="G66" s="14"/>
      <c r="H66" s="2"/>
      <c r="I66" s="20"/>
      <c r="J66" s="15"/>
      <c r="K66" s="5"/>
      <c r="L66" s="5"/>
      <c r="M66" s="5"/>
      <c r="N66" s="5"/>
      <c r="O66" s="5"/>
      <c r="P66" s="32"/>
      <c r="Q66" s="33">
        <f t="shared" si="9"/>
        <v>0</v>
      </c>
      <c r="R66" s="1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3">
        <f t="shared" si="8"/>
        <v>0</v>
      </c>
      <c r="AE66" s="33">
        <f t="shared" si="3"/>
        <v>0</v>
      </c>
    </row>
    <row r="67" spans="1:31" hidden="1" x14ac:dyDescent="0.2">
      <c r="A67" s="95">
        <f t="shared" ref="A67:A130" si="10">SUM(A66+1)</f>
        <v>65</v>
      </c>
      <c r="B67" s="21">
        <v>65</v>
      </c>
      <c r="C67" s="108"/>
      <c r="D67" s="109"/>
      <c r="E67" s="110"/>
      <c r="F67" s="18"/>
      <c r="G67" s="14"/>
      <c r="H67" s="2"/>
      <c r="I67" s="20"/>
      <c r="J67" s="15"/>
      <c r="K67" s="5"/>
      <c r="L67" s="5"/>
      <c r="M67" s="5"/>
      <c r="N67" s="5"/>
      <c r="O67" s="5"/>
      <c r="P67" s="32"/>
      <c r="Q67" s="33">
        <f t="shared" si="9"/>
        <v>0</v>
      </c>
      <c r="R67" s="1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3">
        <f t="shared" ref="AD67:AD98" si="11">SUM(R67:AC67)</f>
        <v>0</v>
      </c>
      <c r="AE67" s="33">
        <f t="shared" ref="AE67:AE130" si="12">AD67+Q67</f>
        <v>0</v>
      </c>
    </row>
    <row r="68" spans="1:31" hidden="1" x14ac:dyDescent="0.2">
      <c r="A68" s="95">
        <f t="shared" si="10"/>
        <v>66</v>
      </c>
      <c r="B68" s="21">
        <v>66</v>
      </c>
      <c r="C68" s="108"/>
      <c r="D68" s="109"/>
      <c r="E68" s="110"/>
      <c r="F68" s="18"/>
      <c r="G68" s="14"/>
      <c r="H68" s="2"/>
      <c r="I68" s="20"/>
      <c r="J68" s="15"/>
      <c r="K68" s="5"/>
      <c r="L68" s="5"/>
      <c r="M68" s="5"/>
      <c r="N68" s="5"/>
      <c r="O68" s="5"/>
      <c r="P68" s="32"/>
      <c r="Q68" s="33">
        <f t="shared" si="9"/>
        <v>0</v>
      </c>
      <c r="R68" s="1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3">
        <f t="shared" si="11"/>
        <v>0</v>
      </c>
      <c r="AE68" s="33">
        <f t="shared" si="12"/>
        <v>0</v>
      </c>
    </row>
    <row r="69" spans="1:31" hidden="1" x14ac:dyDescent="0.2">
      <c r="A69" s="95">
        <f t="shared" si="10"/>
        <v>67</v>
      </c>
      <c r="B69" s="21">
        <v>67</v>
      </c>
      <c r="C69" s="108"/>
      <c r="D69" s="109"/>
      <c r="E69" s="110"/>
      <c r="F69" s="18"/>
      <c r="G69" s="14"/>
      <c r="H69" s="2"/>
      <c r="I69" s="20"/>
      <c r="J69" s="15"/>
      <c r="K69" s="5"/>
      <c r="L69" s="5"/>
      <c r="M69" s="5"/>
      <c r="N69" s="5"/>
      <c r="O69" s="5"/>
      <c r="P69" s="32"/>
      <c r="Q69" s="33">
        <f t="shared" si="9"/>
        <v>0</v>
      </c>
      <c r="R69" s="1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3">
        <f t="shared" si="11"/>
        <v>0</v>
      </c>
      <c r="AE69" s="33">
        <f t="shared" si="12"/>
        <v>0</v>
      </c>
    </row>
    <row r="70" spans="1:31" hidden="1" x14ac:dyDescent="0.2">
      <c r="A70" s="95">
        <f t="shared" si="10"/>
        <v>68</v>
      </c>
      <c r="B70" s="21">
        <v>68</v>
      </c>
      <c r="C70" s="108"/>
      <c r="D70" s="109"/>
      <c r="E70" s="110"/>
      <c r="F70" s="18"/>
      <c r="G70" s="14"/>
      <c r="H70" s="2"/>
      <c r="I70" s="20"/>
      <c r="J70" s="15"/>
      <c r="K70" s="5"/>
      <c r="L70" s="5"/>
      <c r="M70" s="5"/>
      <c r="N70" s="5"/>
      <c r="O70" s="5"/>
      <c r="P70" s="32"/>
      <c r="Q70" s="33">
        <f t="shared" si="9"/>
        <v>0</v>
      </c>
      <c r="R70" s="1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3">
        <f t="shared" si="11"/>
        <v>0</v>
      </c>
      <c r="AE70" s="33">
        <f t="shared" si="12"/>
        <v>0</v>
      </c>
    </row>
    <row r="71" spans="1:31" hidden="1" x14ac:dyDescent="0.2">
      <c r="A71" s="95">
        <f t="shared" si="10"/>
        <v>69</v>
      </c>
      <c r="B71" s="21">
        <v>69</v>
      </c>
      <c r="C71" s="108"/>
      <c r="D71" s="109"/>
      <c r="E71" s="110"/>
      <c r="F71" s="18"/>
      <c r="G71" s="14"/>
      <c r="H71" s="2"/>
      <c r="I71" s="20"/>
      <c r="J71" s="15"/>
      <c r="K71" s="5"/>
      <c r="L71" s="5"/>
      <c r="M71" s="5"/>
      <c r="N71" s="5"/>
      <c r="O71" s="5"/>
      <c r="P71" s="32"/>
      <c r="Q71" s="33">
        <f t="shared" si="9"/>
        <v>0</v>
      </c>
      <c r="R71" s="1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3">
        <f t="shared" si="11"/>
        <v>0</v>
      </c>
      <c r="AE71" s="33">
        <f t="shared" si="12"/>
        <v>0</v>
      </c>
    </row>
    <row r="72" spans="1:31" hidden="1" x14ac:dyDescent="0.2">
      <c r="A72" s="95">
        <f t="shared" si="10"/>
        <v>70</v>
      </c>
      <c r="B72" s="21">
        <v>70</v>
      </c>
      <c r="C72" s="108"/>
      <c r="D72" s="109"/>
      <c r="E72" s="110"/>
      <c r="F72" s="18"/>
      <c r="G72" s="14"/>
      <c r="H72" s="2"/>
      <c r="I72" s="20"/>
      <c r="J72" s="15"/>
      <c r="K72" s="5"/>
      <c r="L72" s="5"/>
      <c r="M72" s="5"/>
      <c r="N72" s="5"/>
      <c r="O72" s="5"/>
      <c r="P72" s="32"/>
      <c r="Q72" s="33">
        <f t="shared" si="9"/>
        <v>0</v>
      </c>
      <c r="R72" s="1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3">
        <f t="shared" si="11"/>
        <v>0</v>
      </c>
      <c r="AE72" s="33">
        <f t="shared" si="12"/>
        <v>0</v>
      </c>
    </row>
    <row r="73" spans="1:31" hidden="1" x14ac:dyDescent="0.2">
      <c r="A73" s="94">
        <f t="shared" si="10"/>
        <v>71</v>
      </c>
      <c r="B73" s="21">
        <v>71</v>
      </c>
      <c r="C73" s="108"/>
      <c r="D73" s="109"/>
      <c r="E73" s="110"/>
      <c r="F73" s="18"/>
      <c r="G73" s="14"/>
      <c r="H73" s="2"/>
      <c r="I73" s="20"/>
      <c r="J73" s="15"/>
      <c r="K73" s="5"/>
      <c r="L73" s="5"/>
      <c r="M73" s="5"/>
      <c r="N73" s="5"/>
      <c r="O73" s="5"/>
      <c r="P73" s="32"/>
      <c r="Q73" s="33">
        <f t="shared" si="9"/>
        <v>0</v>
      </c>
      <c r="R73" s="1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3">
        <f t="shared" si="11"/>
        <v>0</v>
      </c>
      <c r="AE73" s="33">
        <f t="shared" si="12"/>
        <v>0</v>
      </c>
    </row>
    <row r="74" spans="1:31" hidden="1" x14ac:dyDescent="0.2">
      <c r="A74" s="95">
        <f t="shared" si="10"/>
        <v>72</v>
      </c>
      <c r="B74" s="21">
        <v>72</v>
      </c>
      <c r="C74" s="108"/>
      <c r="D74" s="109"/>
      <c r="E74" s="110"/>
      <c r="F74" s="18"/>
      <c r="G74" s="14"/>
      <c r="H74" s="2"/>
      <c r="I74" s="20"/>
      <c r="J74" s="15"/>
      <c r="K74" s="5"/>
      <c r="L74" s="5"/>
      <c r="M74" s="5"/>
      <c r="N74" s="5"/>
      <c r="O74" s="5"/>
      <c r="P74" s="32"/>
      <c r="Q74" s="33">
        <f t="shared" si="9"/>
        <v>0</v>
      </c>
      <c r="R74" s="1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3">
        <f t="shared" si="11"/>
        <v>0</v>
      </c>
      <c r="AE74" s="33">
        <f t="shared" si="12"/>
        <v>0</v>
      </c>
    </row>
    <row r="75" spans="1:31" hidden="1" x14ac:dyDescent="0.2">
      <c r="A75" s="95">
        <f t="shared" si="10"/>
        <v>73</v>
      </c>
      <c r="B75" s="21">
        <v>73</v>
      </c>
      <c r="C75" s="108"/>
      <c r="D75" s="109"/>
      <c r="E75" s="110"/>
      <c r="F75" s="18"/>
      <c r="G75" s="14"/>
      <c r="H75" s="2"/>
      <c r="I75" s="20"/>
      <c r="J75" s="15"/>
      <c r="K75" s="5"/>
      <c r="L75" s="5"/>
      <c r="M75" s="5"/>
      <c r="N75" s="5"/>
      <c r="O75" s="5"/>
      <c r="P75" s="32"/>
      <c r="Q75" s="33">
        <f t="shared" si="9"/>
        <v>0</v>
      </c>
      <c r="R75" s="1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3">
        <f t="shared" si="11"/>
        <v>0</v>
      </c>
      <c r="AE75" s="33">
        <f t="shared" si="12"/>
        <v>0</v>
      </c>
    </row>
    <row r="76" spans="1:31" hidden="1" x14ac:dyDescent="0.2">
      <c r="A76" s="95">
        <f t="shared" si="10"/>
        <v>74</v>
      </c>
      <c r="B76" s="21">
        <v>74</v>
      </c>
      <c r="C76" s="108"/>
      <c r="D76" s="109"/>
      <c r="E76" s="110"/>
      <c r="F76" s="18"/>
      <c r="G76" s="14"/>
      <c r="H76" s="2"/>
      <c r="I76" s="20"/>
      <c r="J76" s="15"/>
      <c r="K76" s="5"/>
      <c r="L76" s="5"/>
      <c r="M76" s="5"/>
      <c r="N76" s="5"/>
      <c r="O76" s="5"/>
      <c r="P76" s="32"/>
      <c r="Q76" s="33">
        <f t="shared" si="9"/>
        <v>0</v>
      </c>
      <c r="R76" s="1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3">
        <f t="shared" si="11"/>
        <v>0</v>
      </c>
      <c r="AE76" s="33">
        <f t="shared" si="12"/>
        <v>0</v>
      </c>
    </row>
    <row r="77" spans="1:31" hidden="1" x14ac:dyDescent="0.2">
      <c r="A77" s="95">
        <f t="shared" si="10"/>
        <v>75</v>
      </c>
      <c r="B77" s="21">
        <v>75</v>
      </c>
      <c r="C77" s="108"/>
      <c r="D77" s="109"/>
      <c r="E77" s="110"/>
      <c r="F77" s="18"/>
      <c r="G77" s="14"/>
      <c r="H77" s="2"/>
      <c r="I77" s="20"/>
      <c r="J77" s="15"/>
      <c r="K77" s="5"/>
      <c r="L77" s="5"/>
      <c r="M77" s="5"/>
      <c r="N77" s="5"/>
      <c r="O77" s="5"/>
      <c r="P77" s="32"/>
      <c r="Q77" s="33">
        <f t="shared" si="9"/>
        <v>0</v>
      </c>
      <c r="R77" s="1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3">
        <f t="shared" si="11"/>
        <v>0</v>
      </c>
      <c r="AE77" s="33">
        <f t="shared" si="12"/>
        <v>0</v>
      </c>
    </row>
    <row r="78" spans="1:31" hidden="1" x14ac:dyDescent="0.2">
      <c r="A78" s="95">
        <f t="shared" si="10"/>
        <v>76</v>
      </c>
      <c r="B78" s="21">
        <v>76</v>
      </c>
      <c r="C78" s="108"/>
      <c r="D78" s="109"/>
      <c r="E78" s="110"/>
      <c r="F78" s="18"/>
      <c r="G78" s="14"/>
      <c r="H78" s="2"/>
      <c r="I78" s="20"/>
      <c r="J78" s="15"/>
      <c r="K78" s="5"/>
      <c r="L78" s="5"/>
      <c r="M78" s="5"/>
      <c r="N78" s="5"/>
      <c r="O78" s="5"/>
      <c r="P78" s="32"/>
      <c r="Q78" s="33">
        <f t="shared" si="9"/>
        <v>0</v>
      </c>
      <c r="R78" s="1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3">
        <f t="shared" si="11"/>
        <v>0</v>
      </c>
      <c r="AE78" s="33">
        <f t="shared" si="12"/>
        <v>0</v>
      </c>
    </row>
    <row r="79" spans="1:31" hidden="1" x14ac:dyDescent="0.2">
      <c r="A79" s="95">
        <f t="shared" si="10"/>
        <v>77</v>
      </c>
      <c r="B79" s="21">
        <v>77</v>
      </c>
      <c r="C79" s="108"/>
      <c r="D79" s="109"/>
      <c r="E79" s="110"/>
      <c r="F79" s="18"/>
      <c r="G79" s="14"/>
      <c r="H79" s="2"/>
      <c r="I79" s="20"/>
      <c r="J79" s="15"/>
      <c r="K79" s="5"/>
      <c r="L79" s="5"/>
      <c r="M79" s="5"/>
      <c r="N79" s="5"/>
      <c r="O79" s="5"/>
      <c r="P79" s="32"/>
      <c r="Q79" s="33">
        <f t="shared" si="9"/>
        <v>0</v>
      </c>
      <c r="R79" s="1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3">
        <f t="shared" si="11"/>
        <v>0</v>
      </c>
      <c r="AE79" s="33">
        <f t="shared" si="12"/>
        <v>0</v>
      </c>
    </row>
    <row r="80" spans="1:31" x14ac:dyDescent="0.2">
      <c r="A80" s="95">
        <f t="shared" si="10"/>
        <v>78</v>
      </c>
      <c r="B80" s="21">
        <v>78</v>
      </c>
      <c r="C80" s="84" t="s">
        <v>239</v>
      </c>
      <c r="D80" s="46" t="s">
        <v>165</v>
      </c>
      <c r="E80" s="29">
        <v>41523</v>
      </c>
      <c r="F80" s="76">
        <v>9</v>
      </c>
      <c r="G80" s="37">
        <v>12</v>
      </c>
      <c r="H80" s="37">
        <f>SUM(G80-F80)+1</f>
        <v>4</v>
      </c>
      <c r="I80" s="40">
        <f>SUM(H80*$I$1)+300</f>
        <v>6260.92</v>
      </c>
      <c r="J80" s="35"/>
      <c r="K80" s="35"/>
      <c r="L80" s="35"/>
      <c r="M80" s="23"/>
      <c r="N80" s="23">
        <v>1490.23</v>
      </c>
      <c r="O80" s="23">
        <v>1490.23</v>
      </c>
      <c r="P80" s="118">
        <v>3280.23</v>
      </c>
      <c r="Q80" s="120">
        <f t="shared" si="9"/>
        <v>0.22999999999956344</v>
      </c>
      <c r="R80" s="1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3">
        <f t="shared" si="11"/>
        <v>0</v>
      </c>
      <c r="AE80" s="107">
        <f t="shared" si="12"/>
        <v>0.22999999999956344</v>
      </c>
    </row>
    <row r="81" spans="1:31" x14ac:dyDescent="0.2">
      <c r="A81" s="95">
        <f t="shared" si="10"/>
        <v>79</v>
      </c>
      <c r="B81" s="21">
        <v>79</v>
      </c>
      <c r="C81" s="81" t="s">
        <v>111</v>
      </c>
      <c r="D81" s="46" t="s">
        <v>189</v>
      </c>
      <c r="E81" s="29">
        <v>41502</v>
      </c>
      <c r="F81" s="28">
        <v>6</v>
      </c>
      <c r="G81" s="37">
        <v>12</v>
      </c>
      <c r="H81" s="37">
        <f>SUM(G81-F81)+1</f>
        <v>7</v>
      </c>
      <c r="I81" s="40">
        <f>SUM(H81*$I$1)+300</f>
        <v>10731.61</v>
      </c>
      <c r="J81" s="24"/>
      <c r="K81" s="23"/>
      <c r="L81" s="23"/>
      <c r="M81" s="23"/>
      <c r="N81" s="23"/>
      <c r="O81" s="23">
        <v>10731.6</v>
      </c>
      <c r="P81" s="118"/>
      <c r="Q81" s="120">
        <f t="shared" si="9"/>
        <v>1.0000000000218279E-2</v>
      </c>
      <c r="R81" s="1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3">
        <f t="shared" si="11"/>
        <v>0</v>
      </c>
      <c r="AE81" s="107">
        <f t="shared" si="12"/>
        <v>1.0000000000218279E-2</v>
      </c>
    </row>
    <row r="82" spans="1:31" hidden="1" x14ac:dyDescent="0.2">
      <c r="A82" s="95">
        <f t="shared" si="10"/>
        <v>80</v>
      </c>
      <c r="B82" s="21">
        <v>80</v>
      </c>
      <c r="C82" s="108"/>
      <c r="D82" s="109"/>
      <c r="E82" s="110"/>
      <c r="F82" s="18"/>
      <c r="G82" s="14"/>
      <c r="H82" s="2"/>
      <c r="I82" s="20"/>
      <c r="J82" s="15"/>
      <c r="K82" s="5"/>
      <c r="L82" s="5"/>
      <c r="M82" s="5"/>
      <c r="N82" s="5"/>
      <c r="O82" s="5"/>
      <c r="P82" s="32"/>
      <c r="Q82" s="33">
        <f t="shared" si="9"/>
        <v>0</v>
      </c>
      <c r="R82" s="1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3">
        <f t="shared" si="11"/>
        <v>0</v>
      </c>
      <c r="AE82" s="33">
        <f t="shared" si="12"/>
        <v>0</v>
      </c>
    </row>
    <row r="83" spans="1:31" hidden="1" x14ac:dyDescent="0.2">
      <c r="A83" s="94">
        <f t="shared" si="10"/>
        <v>81</v>
      </c>
      <c r="B83" s="21">
        <v>81</v>
      </c>
      <c r="C83" s="108"/>
      <c r="D83" s="109"/>
      <c r="E83" s="110"/>
      <c r="F83" s="18"/>
      <c r="G83" s="14"/>
      <c r="H83" s="2"/>
      <c r="I83" s="20"/>
      <c r="J83" s="15"/>
      <c r="K83" s="5"/>
      <c r="L83" s="5"/>
      <c r="M83" s="5"/>
      <c r="N83" s="5"/>
      <c r="O83" s="5"/>
      <c r="P83" s="32"/>
      <c r="Q83" s="33">
        <f t="shared" ref="Q83:Q114" si="13">SUM(I83-(J83+K83+L83+M83+N83+O83+P83))</f>
        <v>0</v>
      </c>
      <c r="R83" s="1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3">
        <f t="shared" si="11"/>
        <v>0</v>
      </c>
      <c r="AE83" s="33">
        <f t="shared" si="12"/>
        <v>0</v>
      </c>
    </row>
    <row r="84" spans="1:31" hidden="1" x14ac:dyDescent="0.2">
      <c r="A84" s="95">
        <f t="shared" si="10"/>
        <v>82</v>
      </c>
      <c r="B84" s="21">
        <v>82</v>
      </c>
      <c r="C84" s="108"/>
      <c r="D84" s="109"/>
      <c r="E84" s="110"/>
      <c r="F84" s="18"/>
      <c r="G84" s="14"/>
      <c r="H84" s="2"/>
      <c r="I84" s="20"/>
      <c r="J84" s="15"/>
      <c r="K84" s="5"/>
      <c r="L84" s="5"/>
      <c r="M84" s="5"/>
      <c r="N84" s="5"/>
      <c r="O84" s="5"/>
      <c r="P84" s="32"/>
      <c r="Q84" s="33">
        <f t="shared" si="13"/>
        <v>0</v>
      </c>
      <c r="R84" s="1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3">
        <f t="shared" si="11"/>
        <v>0</v>
      </c>
      <c r="AE84" s="33">
        <f t="shared" si="12"/>
        <v>0</v>
      </c>
    </row>
    <row r="85" spans="1:31" hidden="1" x14ac:dyDescent="0.2">
      <c r="A85" s="95">
        <f t="shared" si="10"/>
        <v>83</v>
      </c>
      <c r="B85" s="21">
        <v>83</v>
      </c>
      <c r="C85" s="108"/>
      <c r="D85" s="109"/>
      <c r="E85" s="110"/>
      <c r="F85" s="18"/>
      <c r="G85" s="14"/>
      <c r="H85" s="2"/>
      <c r="I85" s="20"/>
      <c r="J85" s="15"/>
      <c r="K85" s="5"/>
      <c r="L85" s="5"/>
      <c r="M85" s="5"/>
      <c r="N85" s="5"/>
      <c r="O85" s="5"/>
      <c r="P85" s="32"/>
      <c r="Q85" s="33">
        <f t="shared" si="13"/>
        <v>0</v>
      </c>
      <c r="R85" s="1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3">
        <f t="shared" si="11"/>
        <v>0</v>
      </c>
      <c r="AE85" s="33">
        <f t="shared" si="12"/>
        <v>0</v>
      </c>
    </row>
    <row r="86" spans="1:31" x14ac:dyDescent="0.2">
      <c r="A86" s="95">
        <f t="shared" si="10"/>
        <v>84</v>
      </c>
      <c r="B86" s="21">
        <v>84</v>
      </c>
      <c r="C86" s="112" t="s">
        <v>219</v>
      </c>
      <c r="D86" s="109"/>
      <c r="E86" s="110"/>
      <c r="F86" s="18">
        <v>9</v>
      </c>
      <c r="G86" s="37">
        <v>12</v>
      </c>
      <c r="H86" s="37">
        <f>SUM(G86-F86)+1</f>
        <v>4</v>
      </c>
      <c r="I86" s="40">
        <f>SUM(H86*$I$1)+300</f>
        <v>6260.92</v>
      </c>
      <c r="J86" s="16"/>
      <c r="K86" s="35"/>
      <c r="L86" s="35"/>
      <c r="M86" s="5"/>
      <c r="N86" s="5"/>
      <c r="O86" s="5"/>
      <c r="P86" s="117"/>
      <c r="Q86" s="120">
        <f t="shared" si="13"/>
        <v>6260.92</v>
      </c>
      <c r="R86" s="1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3">
        <f t="shared" si="11"/>
        <v>0</v>
      </c>
      <c r="AE86" s="107">
        <f t="shared" si="12"/>
        <v>6260.92</v>
      </c>
    </row>
    <row r="87" spans="1:31" x14ac:dyDescent="0.2">
      <c r="A87" s="95">
        <f t="shared" si="10"/>
        <v>85</v>
      </c>
      <c r="B87" s="21">
        <v>85</v>
      </c>
      <c r="C87" s="112" t="s">
        <v>219</v>
      </c>
      <c r="D87" s="109"/>
      <c r="E87" s="110"/>
      <c r="F87" s="18">
        <v>9</v>
      </c>
      <c r="G87" s="37">
        <v>12</v>
      </c>
      <c r="H87" s="37">
        <f>SUM(G87-F87)+1</f>
        <v>4</v>
      </c>
      <c r="I87" s="40">
        <f>SUM(H87*$I$1)+300</f>
        <v>6260.92</v>
      </c>
      <c r="J87" s="16"/>
      <c r="K87" s="35"/>
      <c r="L87" s="35"/>
      <c r="M87" s="5"/>
      <c r="N87" s="5"/>
      <c r="O87" s="5"/>
      <c r="P87" s="117"/>
      <c r="Q87" s="120">
        <f t="shared" si="13"/>
        <v>6260.92</v>
      </c>
      <c r="R87" s="1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3">
        <f t="shared" si="11"/>
        <v>0</v>
      </c>
      <c r="AE87" s="107">
        <f t="shared" si="12"/>
        <v>6260.92</v>
      </c>
    </row>
    <row r="88" spans="1:31" x14ac:dyDescent="0.2">
      <c r="A88" s="95">
        <f t="shared" si="10"/>
        <v>86</v>
      </c>
      <c r="B88" s="21">
        <v>86</v>
      </c>
      <c r="C88" s="112" t="s">
        <v>219</v>
      </c>
      <c r="D88" s="109"/>
      <c r="E88" s="110"/>
      <c r="F88" s="18">
        <v>9</v>
      </c>
      <c r="G88" s="37">
        <v>12</v>
      </c>
      <c r="H88" s="37">
        <f>SUM(G88-F88)+1</f>
        <v>4</v>
      </c>
      <c r="I88" s="40">
        <f>SUM(H88*$I$1)+300</f>
        <v>6260.92</v>
      </c>
      <c r="J88" s="16"/>
      <c r="K88" s="35"/>
      <c r="L88" s="35"/>
      <c r="M88" s="5"/>
      <c r="N88" s="5"/>
      <c r="O88" s="5"/>
      <c r="P88" s="117"/>
      <c r="Q88" s="120">
        <f t="shared" si="13"/>
        <v>6260.92</v>
      </c>
      <c r="R88" s="1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3">
        <f t="shared" si="11"/>
        <v>0</v>
      </c>
      <c r="AE88" s="107">
        <f t="shared" si="12"/>
        <v>6260.92</v>
      </c>
    </row>
    <row r="89" spans="1:31" hidden="1" x14ac:dyDescent="0.2">
      <c r="A89" s="95">
        <f t="shared" si="10"/>
        <v>87</v>
      </c>
      <c r="B89" s="21">
        <v>87</v>
      </c>
      <c r="C89" s="108"/>
      <c r="D89" s="109"/>
      <c r="E89" s="110"/>
      <c r="F89" s="18"/>
      <c r="G89" s="14"/>
      <c r="H89" s="2"/>
      <c r="I89" s="20"/>
      <c r="J89" s="15"/>
      <c r="K89" s="5"/>
      <c r="L89" s="5"/>
      <c r="M89" s="5"/>
      <c r="N89" s="5"/>
      <c r="O89" s="5"/>
      <c r="P89" s="32"/>
      <c r="Q89" s="33">
        <f t="shared" si="13"/>
        <v>0</v>
      </c>
      <c r="R89" s="1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3">
        <f t="shared" si="11"/>
        <v>0</v>
      </c>
      <c r="AE89" s="33">
        <f t="shared" si="12"/>
        <v>0</v>
      </c>
    </row>
    <row r="90" spans="1:31" x14ac:dyDescent="0.2">
      <c r="A90" s="95">
        <f t="shared" si="10"/>
        <v>88</v>
      </c>
      <c r="B90" s="22">
        <v>88</v>
      </c>
      <c r="C90" s="85" t="s">
        <v>198</v>
      </c>
      <c r="D90" s="46" t="s">
        <v>171</v>
      </c>
      <c r="E90" s="29">
        <v>41512</v>
      </c>
      <c r="F90" s="28">
        <v>6</v>
      </c>
      <c r="G90" s="37">
        <v>12</v>
      </c>
      <c r="H90" s="37">
        <f>SUM(G90-F90)+1</f>
        <v>7</v>
      </c>
      <c r="I90" s="40">
        <f>SUM(H90*$I$1)+300</f>
        <v>10731.61</v>
      </c>
      <c r="J90" s="23"/>
      <c r="K90" s="23"/>
      <c r="L90" s="23"/>
      <c r="M90" s="23">
        <v>1490.23</v>
      </c>
      <c r="N90" s="23"/>
      <c r="O90" s="23"/>
      <c r="P90" s="118">
        <v>9241.3799999999992</v>
      </c>
      <c r="Q90" s="120">
        <f t="shared" si="13"/>
        <v>1.8189894035458565E-12</v>
      </c>
      <c r="R90" s="1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3">
        <f t="shared" si="11"/>
        <v>0</v>
      </c>
      <c r="AE90" s="107">
        <f t="shared" si="12"/>
        <v>1.8189894035458565E-12</v>
      </c>
    </row>
    <row r="91" spans="1:31" x14ac:dyDescent="0.2">
      <c r="A91" s="95">
        <f t="shared" si="10"/>
        <v>89</v>
      </c>
      <c r="B91" s="21">
        <v>89</v>
      </c>
      <c r="C91" s="82" t="s">
        <v>47</v>
      </c>
      <c r="D91" s="8" t="s">
        <v>48</v>
      </c>
      <c r="E91" s="29">
        <v>41442</v>
      </c>
      <c r="F91" s="28">
        <v>6</v>
      </c>
      <c r="G91" s="37">
        <v>12</v>
      </c>
      <c r="H91" s="37">
        <f>SUM(G91-F91)+1</f>
        <v>7</v>
      </c>
      <c r="I91" s="40">
        <f>SUM(H91*$I$1)+300</f>
        <v>10731.61</v>
      </c>
      <c r="J91" s="24"/>
      <c r="K91" s="23"/>
      <c r="L91" s="23"/>
      <c r="M91" s="23"/>
      <c r="N91" s="23"/>
      <c r="O91" s="23"/>
      <c r="P91" s="118">
        <v>10731.6</v>
      </c>
      <c r="Q91" s="120">
        <f t="shared" si="13"/>
        <v>1.0000000000218279E-2</v>
      </c>
      <c r="R91" s="1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3">
        <f t="shared" si="11"/>
        <v>0</v>
      </c>
      <c r="AE91" s="107">
        <f t="shared" si="12"/>
        <v>1.0000000000218279E-2</v>
      </c>
    </row>
    <row r="92" spans="1:31" x14ac:dyDescent="0.2">
      <c r="A92" s="95">
        <f t="shared" si="10"/>
        <v>90</v>
      </c>
      <c r="B92" s="21">
        <v>90</v>
      </c>
      <c r="C92" s="111" t="s">
        <v>112</v>
      </c>
      <c r="D92" s="50"/>
      <c r="E92" s="51"/>
      <c r="F92" s="26">
        <v>9</v>
      </c>
      <c r="G92" s="27">
        <v>12</v>
      </c>
      <c r="H92" s="37">
        <f>SUM(G92-F92)+1</f>
        <v>4</v>
      </c>
      <c r="I92" s="40">
        <f>SUM(H92*$I$1)+300</f>
        <v>6260.92</v>
      </c>
      <c r="J92" s="16"/>
      <c r="K92" s="35"/>
      <c r="L92" s="35"/>
      <c r="M92" s="5"/>
      <c r="N92" s="5"/>
      <c r="O92" s="5"/>
      <c r="P92" s="117"/>
      <c r="Q92" s="120">
        <f t="shared" si="13"/>
        <v>6260.92</v>
      </c>
      <c r="R92" s="1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3">
        <f t="shared" si="11"/>
        <v>0</v>
      </c>
      <c r="AE92" s="107">
        <f t="shared" si="12"/>
        <v>6260.92</v>
      </c>
    </row>
    <row r="93" spans="1:31" hidden="1" x14ac:dyDescent="0.2">
      <c r="A93" s="94">
        <f t="shared" si="10"/>
        <v>91</v>
      </c>
      <c r="B93" s="21">
        <v>91</v>
      </c>
      <c r="C93" s="108"/>
      <c r="D93" s="109"/>
      <c r="E93" s="110"/>
      <c r="F93" s="18"/>
      <c r="G93" s="14"/>
      <c r="H93" s="2"/>
      <c r="I93" s="20"/>
      <c r="J93" s="15"/>
      <c r="K93" s="5"/>
      <c r="L93" s="5"/>
      <c r="M93" s="5"/>
      <c r="N93" s="5"/>
      <c r="O93" s="5"/>
      <c r="P93" s="32"/>
      <c r="Q93" s="33">
        <f t="shared" si="13"/>
        <v>0</v>
      </c>
      <c r="R93" s="1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3">
        <f t="shared" si="11"/>
        <v>0</v>
      </c>
      <c r="AE93" s="33">
        <f t="shared" si="12"/>
        <v>0</v>
      </c>
    </row>
    <row r="94" spans="1:31" hidden="1" x14ac:dyDescent="0.2">
      <c r="A94" s="95">
        <f t="shared" si="10"/>
        <v>92</v>
      </c>
      <c r="B94" s="21">
        <v>92</v>
      </c>
      <c r="C94" s="108"/>
      <c r="D94" s="109"/>
      <c r="E94" s="110"/>
      <c r="F94" s="18"/>
      <c r="G94" s="14"/>
      <c r="H94" s="2"/>
      <c r="I94" s="20"/>
      <c r="J94" s="15"/>
      <c r="K94" s="5"/>
      <c r="L94" s="5"/>
      <c r="M94" s="5"/>
      <c r="N94" s="5"/>
      <c r="O94" s="5"/>
      <c r="P94" s="32"/>
      <c r="Q94" s="33">
        <f t="shared" si="13"/>
        <v>0</v>
      </c>
      <c r="R94" s="1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3">
        <f t="shared" si="11"/>
        <v>0</v>
      </c>
      <c r="AE94" s="33">
        <f t="shared" si="12"/>
        <v>0</v>
      </c>
    </row>
    <row r="95" spans="1:31" x14ac:dyDescent="0.2">
      <c r="A95" s="95">
        <f t="shared" si="10"/>
        <v>93</v>
      </c>
      <c r="B95" s="21">
        <v>93</v>
      </c>
      <c r="C95" s="82" t="s">
        <v>24</v>
      </c>
      <c r="D95" s="8" t="s">
        <v>25</v>
      </c>
      <c r="E95" s="29">
        <v>41453</v>
      </c>
      <c r="F95" s="28">
        <v>6</v>
      </c>
      <c r="G95" s="37">
        <v>12</v>
      </c>
      <c r="H95" s="37">
        <f>SUM(G95-F95)+1</f>
        <v>7</v>
      </c>
      <c r="I95" s="40">
        <f>SUM(H95*$I$1)+300</f>
        <v>10731.61</v>
      </c>
      <c r="J95" s="24"/>
      <c r="K95" s="23"/>
      <c r="L95" s="23"/>
      <c r="M95" s="23"/>
      <c r="N95" s="23"/>
      <c r="O95" s="23">
        <f>10431.61+300</f>
        <v>10731.61</v>
      </c>
      <c r="P95" s="118"/>
      <c r="Q95" s="120">
        <f t="shared" si="13"/>
        <v>0</v>
      </c>
      <c r="R95" s="24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3">
        <f t="shared" si="11"/>
        <v>0</v>
      </c>
      <c r="AE95" s="107">
        <f t="shared" si="12"/>
        <v>0</v>
      </c>
    </row>
    <row r="96" spans="1:31" hidden="1" x14ac:dyDescent="0.2">
      <c r="A96" s="95">
        <f t="shared" si="10"/>
        <v>94</v>
      </c>
      <c r="B96" s="21">
        <v>94</v>
      </c>
      <c r="C96" s="108"/>
      <c r="D96" s="109"/>
      <c r="E96" s="110"/>
      <c r="F96" s="18"/>
      <c r="G96" s="14"/>
      <c r="H96" s="2"/>
      <c r="I96" s="20"/>
      <c r="J96" s="15"/>
      <c r="K96" s="5"/>
      <c r="L96" s="5"/>
      <c r="M96" s="5"/>
      <c r="N96" s="5"/>
      <c r="O96" s="5"/>
      <c r="P96" s="32"/>
      <c r="Q96" s="33">
        <f t="shared" si="13"/>
        <v>0</v>
      </c>
      <c r="R96" s="1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3">
        <f t="shared" si="11"/>
        <v>0</v>
      </c>
      <c r="AE96" s="33">
        <f t="shared" si="12"/>
        <v>0</v>
      </c>
    </row>
    <row r="97" spans="1:31" hidden="1" x14ac:dyDescent="0.2">
      <c r="A97" s="95">
        <f t="shared" si="10"/>
        <v>95</v>
      </c>
      <c r="B97" s="21">
        <v>95</v>
      </c>
      <c r="C97" s="108"/>
      <c r="D97" s="109"/>
      <c r="E97" s="110"/>
      <c r="F97" s="18"/>
      <c r="G97" s="14"/>
      <c r="H97" s="2"/>
      <c r="I97" s="20"/>
      <c r="J97" s="15"/>
      <c r="K97" s="5"/>
      <c r="L97" s="5"/>
      <c r="M97" s="5"/>
      <c r="N97" s="5"/>
      <c r="O97" s="5"/>
      <c r="P97" s="32"/>
      <c r="Q97" s="33">
        <f t="shared" si="13"/>
        <v>0</v>
      </c>
      <c r="R97" s="1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3">
        <f t="shared" si="11"/>
        <v>0</v>
      </c>
      <c r="AE97" s="33">
        <f t="shared" si="12"/>
        <v>0</v>
      </c>
    </row>
    <row r="98" spans="1:31" hidden="1" x14ac:dyDescent="0.2">
      <c r="A98" s="95">
        <f t="shared" si="10"/>
        <v>96</v>
      </c>
      <c r="B98" s="21">
        <v>96</v>
      </c>
      <c r="C98" s="108"/>
      <c r="D98" s="109"/>
      <c r="E98" s="110"/>
      <c r="F98" s="18"/>
      <c r="G98" s="14"/>
      <c r="H98" s="2"/>
      <c r="I98" s="20"/>
      <c r="J98" s="15"/>
      <c r="K98" s="5"/>
      <c r="L98" s="5"/>
      <c r="M98" s="5"/>
      <c r="N98" s="5"/>
      <c r="O98" s="5"/>
      <c r="P98" s="32"/>
      <c r="Q98" s="33">
        <f t="shared" si="13"/>
        <v>0</v>
      </c>
      <c r="R98" s="1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3">
        <f t="shared" si="11"/>
        <v>0</v>
      </c>
      <c r="AE98" s="33">
        <f t="shared" si="12"/>
        <v>0</v>
      </c>
    </row>
    <row r="99" spans="1:31" hidden="1" x14ac:dyDescent="0.2">
      <c r="A99" s="95">
        <f t="shared" si="10"/>
        <v>97</v>
      </c>
      <c r="B99" s="21">
        <v>97</v>
      </c>
      <c r="C99" s="108"/>
      <c r="D99" s="109"/>
      <c r="E99" s="110"/>
      <c r="F99" s="18"/>
      <c r="G99" s="14"/>
      <c r="H99" s="2"/>
      <c r="I99" s="20"/>
      <c r="J99" s="15"/>
      <c r="K99" s="5"/>
      <c r="L99" s="5"/>
      <c r="M99" s="5"/>
      <c r="N99" s="5"/>
      <c r="O99" s="5"/>
      <c r="P99" s="32"/>
      <c r="Q99" s="33">
        <f t="shared" si="13"/>
        <v>0</v>
      </c>
      <c r="R99" s="1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3">
        <f t="shared" ref="AD99:AD130" si="14">SUM(R99:AC99)</f>
        <v>0</v>
      </c>
      <c r="AE99" s="33">
        <f t="shared" si="12"/>
        <v>0</v>
      </c>
    </row>
    <row r="100" spans="1:31" hidden="1" x14ac:dyDescent="0.2">
      <c r="A100" s="95">
        <f t="shared" si="10"/>
        <v>98</v>
      </c>
      <c r="B100" s="21">
        <v>98</v>
      </c>
      <c r="C100" s="108"/>
      <c r="D100" s="109"/>
      <c r="E100" s="110"/>
      <c r="F100" s="18"/>
      <c r="G100" s="14"/>
      <c r="H100" s="2"/>
      <c r="I100" s="20"/>
      <c r="J100" s="15"/>
      <c r="K100" s="5"/>
      <c r="L100" s="5"/>
      <c r="M100" s="5"/>
      <c r="N100" s="5"/>
      <c r="O100" s="5"/>
      <c r="P100" s="32"/>
      <c r="Q100" s="33">
        <f t="shared" si="13"/>
        <v>0</v>
      </c>
      <c r="R100" s="1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3">
        <f t="shared" si="14"/>
        <v>0</v>
      </c>
      <c r="AE100" s="33">
        <f t="shared" si="12"/>
        <v>0</v>
      </c>
    </row>
    <row r="101" spans="1:31" x14ac:dyDescent="0.2">
      <c r="A101" s="95">
        <f t="shared" si="10"/>
        <v>99</v>
      </c>
      <c r="B101" s="21">
        <v>99</v>
      </c>
      <c r="C101" s="111" t="s">
        <v>113</v>
      </c>
      <c r="D101" s="50"/>
      <c r="E101" s="51"/>
      <c r="F101" s="28">
        <v>6</v>
      </c>
      <c r="G101" s="37">
        <v>12</v>
      </c>
      <c r="H101" s="37">
        <f t="shared" ref="H101:H133" si="15">SUM(G101-F101)+1</f>
        <v>7</v>
      </c>
      <c r="I101" s="40">
        <f t="shared" ref="I101:I134" si="16">SUM(H101*$I$1)+300</f>
        <v>10731.61</v>
      </c>
      <c r="J101" s="24"/>
      <c r="K101" s="23"/>
      <c r="L101" s="23"/>
      <c r="M101" s="23"/>
      <c r="N101" s="23"/>
      <c r="O101" s="23"/>
      <c r="P101" s="117">
        <v>10430</v>
      </c>
      <c r="Q101" s="120">
        <f t="shared" si="13"/>
        <v>301.61000000000058</v>
      </c>
      <c r="R101" s="1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3">
        <f t="shared" si="14"/>
        <v>0</v>
      </c>
      <c r="AE101" s="107">
        <f t="shared" si="12"/>
        <v>301.61000000000058</v>
      </c>
    </row>
    <row r="102" spans="1:31" x14ac:dyDescent="0.2">
      <c r="A102" s="95">
        <f t="shared" si="10"/>
        <v>100</v>
      </c>
      <c r="B102" s="21">
        <v>100</v>
      </c>
      <c r="C102" s="112" t="s">
        <v>220</v>
      </c>
      <c r="D102" s="109"/>
      <c r="E102" s="110"/>
      <c r="F102" s="18">
        <v>10</v>
      </c>
      <c r="G102" s="37">
        <v>12</v>
      </c>
      <c r="H102" s="37">
        <f t="shared" si="15"/>
        <v>3</v>
      </c>
      <c r="I102" s="40">
        <f t="shared" si="16"/>
        <v>4770.6900000000005</v>
      </c>
      <c r="J102" s="16"/>
      <c r="K102" s="35"/>
      <c r="L102" s="35"/>
      <c r="M102" s="35"/>
      <c r="N102" s="23"/>
      <c r="O102" s="23"/>
      <c r="P102" s="118">
        <v>4770.6899999999996</v>
      </c>
      <c r="Q102" s="120">
        <f t="shared" si="13"/>
        <v>9.0949470177292824E-13</v>
      </c>
      <c r="R102" s="1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3">
        <f t="shared" si="14"/>
        <v>0</v>
      </c>
      <c r="AE102" s="107">
        <f t="shared" si="12"/>
        <v>9.0949470177292824E-13</v>
      </c>
    </row>
    <row r="103" spans="1:31" x14ac:dyDescent="0.2">
      <c r="A103" s="94">
        <f t="shared" si="10"/>
        <v>101</v>
      </c>
      <c r="B103" s="22">
        <v>101</v>
      </c>
      <c r="C103" s="85" t="s">
        <v>199</v>
      </c>
      <c r="D103" s="46" t="s">
        <v>175</v>
      </c>
      <c r="E103" s="29">
        <v>41505</v>
      </c>
      <c r="F103" s="28">
        <v>6</v>
      </c>
      <c r="G103" s="37">
        <v>12</v>
      </c>
      <c r="H103" s="37">
        <f t="shared" si="15"/>
        <v>7</v>
      </c>
      <c r="I103" s="40">
        <f t="shared" si="16"/>
        <v>10731.61</v>
      </c>
      <c r="J103" s="24"/>
      <c r="K103" s="23"/>
      <c r="L103" s="23"/>
      <c r="M103" s="23"/>
      <c r="N103" s="23"/>
      <c r="O103" s="23"/>
      <c r="P103" s="118">
        <v>10731.61</v>
      </c>
      <c r="Q103" s="120">
        <f t="shared" si="13"/>
        <v>0</v>
      </c>
      <c r="R103" s="1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3">
        <f t="shared" si="14"/>
        <v>0</v>
      </c>
      <c r="AE103" s="107">
        <f t="shared" si="12"/>
        <v>0</v>
      </c>
    </row>
    <row r="104" spans="1:31" x14ac:dyDescent="0.2">
      <c r="A104" s="95">
        <f t="shared" si="10"/>
        <v>102</v>
      </c>
      <c r="B104" s="21">
        <v>102</v>
      </c>
      <c r="C104" s="81" t="s">
        <v>114</v>
      </c>
      <c r="D104" s="46" t="s">
        <v>179</v>
      </c>
      <c r="E104" s="29">
        <v>41451</v>
      </c>
      <c r="F104" s="28">
        <v>6</v>
      </c>
      <c r="G104" s="37">
        <v>12</v>
      </c>
      <c r="H104" s="37">
        <f t="shared" si="15"/>
        <v>7</v>
      </c>
      <c r="I104" s="40">
        <f t="shared" si="16"/>
        <v>10731.61</v>
      </c>
      <c r="J104" s="24"/>
      <c r="K104" s="23"/>
      <c r="L104" s="23"/>
      <c r="M104" s="23"/>
      <c r="N104" s="23"/>
      <c r="O104" s="23">
        <v>10432</v>
      </c>
      <c r="P104" s="118"/>
      <c r="Q104" s="120">
        <f t="shared" si="13"/>
        <v>299.61000000000058</v>
      </c>
      <c r="R104" s="1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3">
        <f t="shared" si="14"/>
        <v>0</v>
      </c>
      <c r="AE104" s="107">
        <f t="shared" si="12"/>
        <v>299.61000000000058</v>
      </c>
    </row>
    <row r="105" spans="1:31" x14ac:dyDescent="0.2">
      <c r="A105" s="95">
        <f t="shared" si="10"/>
        <v>103</v>
      </c>
      <c r="B105" s="21">
        <v>103</v>
      </c>
      <c r="C105" s="82" t="s">
        <v>23</v>
      </c>
      <c r="D105" s="46" t="s">
        <v>185</v>
      </c>
      <c r="E105" s="29">
        <v>41426</v>
      </c>
      <c r="F105" s="28">
        <v>6</v>
      </c>
      <c r="G105" s="37">
        <v>12</v>
      </c>
      <c r="H105" s="37">
        <f t="shared" si="15"/>
        <v>7</v>
      </c>
      <c r="I105" s="40">
        <f t="shared" si="16"/>
        <v>10731.61</v>
      </c>
      <c r="J105" s="24"/>
      <c r="K105" s="23"/>
      <c r="L105" s="23"/>
      <c r="M105" s="23"/>
      <c r="N105" s="23"/>
      <c r="O105" s="23"/>
      <c r="P105" s="118">
        <v>10731.61</v>
      </c>
      <c r="Q105" s="120">
        <f t="shared" si="13"/>
        <v>0</v>
      </c>
      <c r="R105" s="1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3">
        <f t="shared" si="14"/>
        <v>0</v>
      </c>
      <c r="AE105" s="107">
        <f t="shared" si="12"/>
        <v>0</v>
      </c>
    </row>
    <row r="106" spans="1:31" x14ac:dyDescent="0.2">
      <c r="A106" s="95">
        <f t="shared" si="10"/>
        <v>104</v>
      </c>
      <c r="B106" s="21">
        <v>104</v>
      </c>
      <c r="C106" s="84" t="s">
        <v>207</v>
      </c>
      <c r="D106" s="8" t="s">
        <v>22</v>
      </c>
      <c r="E106" s="29">
        <v>41449</v>
      </c>
      <c r="F106" s="28">
        <v>6</v>
      </c>
      <c r="G106" s="37">
        <v>12</v>
      </c>
      <c r="H106" s="37">
        <f t="shared" si="15"/>
        <v>7</v>
      </c>
      <c r="I106" s="40">
        <f t="shared" si="16"/>
        <v>10731.61</v>
      </c>
      <c r="J106" s="24"/>
      <c r="K106" s="23"/>
      <c r="L106" s="23"/>
      <c r="M106" s="23"/>
      <c r="N106" s="23"/>
      <c r="O106" s="23">
        <v>8941.3799999999992</v>
      </c>
      <c r="P106" s="117"/>
      <c r="Q106" s="120">
        <f t="shared" si="13"/>
        <v>1790.2300000000014</v>
      </c>
      <c r="R106" s="1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3">
        <f t="shared" si="14"/>
        <v>0</v>
      </c>
      <c r="AE106" s="107">
        <f t="shared" si="12"/>
        <v>1790.2300000000014</v>
      </c>
    </row>
    <row r="107" spans="1:31" x14ac:dyDescent="0.2">
      <c r="A107" s="95">
        <f t="shared" si="10"/>
        <v>105</v>
      </c>
      <c r="B107" s="21">
        <v>105</v>
      </c>
      <c r="C107" s="91" t="s">
        <v>160</v>
      </c>
      <c r="D107" s="46" t="s">
        <v>195</v>
      </c>
      <c r="E107" s="29">
        <v>41485</v>
      </c>
      <c r="F107" s="28">
        <v>6</v>
      </c>
      <c r="G107" s="37">
        <v>12</v>
      </c>
      <c r="H107" s="37">
        <f t="shared" si="15"/>
        <v>7</v>
      </c>
      <c r="I107" s="40">
        <f t="shared" si="16"/>
        <v>10731.61</v>
      </c>
      <c r="J107" s="24"/>
      <c r="K107" s="23"/>
      <c r="L107" s="23">
        <v>7451.15</v>
      </c>
      <c r="M107" s="23"/>
      <c r="N107" s="23">
        <v>2980.46</v>
      </c>
      <c r="O107" s="23"/>
      <c r="P107" s="118"/>
      <c r="Q107" s="120">
        <f t="shared" si="13"/>
        <v>300</v>
      </c>
      <c r="R107" s="1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3">
        <f t="shared" si="14"/>
        <v>0</v>
      </c>
      <c r="AE107" s="107">
        <f t="shared" si="12"/>
        <v>300</v>
      </c>
    </row>
    <row r="108" spans="1:31" x14ac:dyDescent="0.2">
      <c r="A108" s="95">
        <f t="shared" si="10"/>
        <v>106</v>
      </c>
      <c r="B108" s="21">
        <v>106</v>
      </c>
      <c r="C108" s="81" t="s">
        <v>116</v>
      </c>
      <c r="D108" s="46" t="s">
        <v>206</v>
      </c>
      <c r="E108" s="29">
        <v>41456</v>
      </c>
      <c r="F108" s="26">
        <v>6</v>
      </c>
      <c r="G108" s="27">
        <v>12</v>
      </c>
      <c r="H108" s="37">
        <f t="shared" si="15"/>
        <v>7</v>
      </c>
      <c r="I108" s="40">
        <f t="shared" si="16"/>
        <v>10731.61</v>
      </c>
      <c r="J108" s="24"/>
      <c r="K108" s="23"/>
      <c r="L108" s="23"/>
      <c r="M108" s="23"/>
      <c r="N108" s="23">
        <v>5960.92</v>
      </c>
      <c r="O108" s="23"/>
      <c r="P108" s="118">
        <f>2980.46+1790.23</f>
        <v>4770.6900000000005</v>
      </c>
      <c r="Q108" s="120">
        <f t="shared" si="13"/>
        <v>0</v>
      </c>
      <c r="R108" s="1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3">
        <f t="shared" si="14"/>
        <v>0</v>
      </c>
      <c r="AE108" s="107">
        <f t="shared" si="12"/>
        <v>0</v>
      </c>
    </row>
    <row r="109" spans="1:31" x14ac:dyDescent="0.2">
      <c r="A109" s="95">
        <f t="shared" si="10"/>
        <v>107</v>
      </c>
      <c r="B109" s="21">
        <v>107</v>
      </c>
      <c r="C109" s="111" t="s">
        <v>117</v>
      </c>
      <c r="D109" s="50"/>
      <c r="E109" s="51"/>
      <c r="F109" s="28">
        <v>6</v>
      </c>
      <c r="G109" s="37">
        <v>12</v>
      </c>
      <c r="H109" s="37">
        <f t="shared" si="15"/>
        <v>7</v>
      </c>
      <c r="I109" s="40">
        <f t="shared" si="16"/>
        <v>10731.61</v>
      </c>
      <c r="J109" s="24"/>
      <c r="K109" s="23"/>
      <c r="L109" s="23"/>
      <c r="M109" s="23"/>
      <c r="N109" s="23"/>
      <c r="O109" s="23"/>
      <c r="P109" s="118">
        <v>10731.61</v>
      </c>
      <c r="Q109" s="120">
        <f t="shared" si="13"/>
        <v>0</v>
      </c>
      <c r="R109" s="1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3">
        <f t="shared" si="14"/>
        <v>0</v>
      </c>
      <c r="AE109" s="107">
        <f t="shared" si="12"/>
        <v>0</v>
      </c>
    </row>
    <row r="110" spans="1:31" x14ac:dyDescent="0.2">
      <c r="A110" s="95">
        <f t="shared" si="10"/>
        <v>108</v>
      </c>
      <c r="B110" s="22">
        <v>108</v>
      </c>
      <c r="C110" s="85" t="s">
        <v>212</v>
      </c>
      <c r="D110" s="46" t="s">
        <v>184</v>
      </c>
      <c r="E110" s="29">
        <v>41505</v>
      </c>
      <c r="F110" s="28">
        <v>6</v>
      </c>
      <c r="G110" s="37">
        <v>12</v>
      </c>
      <c r="H110" s="37">
        <f t="shared" si="15"/>
        <v>7</v>
      </c>
      <c r="I110" s="40">
        <f t="shared" si="16"/>
        <v>10731.61</v>
      </c>
      <c r="J110" s="24"/>
      <c r="K110" s="23"/>
      <c r="L110" s="23"/>
      <c r="M110" s="23"/>
      <c r="N110" s="23"/>
      <c r="O110" s="23">
        <f>(1490.23*3)+5960.92</f>
        <v>10431.61</v>
      </c>
      <c r="P110" s="118"/>
      <c r="Q110" s="120">
        <f t="shared" si="13"/>
        <v>300</v>
      </c>
      <c r="R110" s="1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3">
        <f t="shared" si="14"/>
        <v>0</v>
      </c>
      <c r="AE110" s="107">
        <f t="shared" si="12"/>
        <v>300</v>
      </c>
    </row>
    <row r="111" spans="1:31" x14ac:dyDescent="0.2">
      <c r="A111" s="95">
        <f t="shared" si="10"/>
        <v>109</v>
      </c>
      <c r="B111" s="21">
        <v>109</v>
      </c>
      <c r="C111" s="82" t="s">
        <v>37</v>
      </c>
      <c r="D111" s="8" t="s">
        <v>59</v>
      </c>
      <c r="E111" s="29">
        <v>41444</v>
      </c>
      <c r="F111" s="28">
        <v>6</v>
      </c>
      <c r="G111" s="37">
        <v>12</v>
      </c>
      <c r="H111" s="37">
        <f t="shared" si="15"/>
        <v>7</v>
      </c>
      <c r="I111" s="40">
        <f t="shared" si="16"/>
        <v>10731.61</v>
      </c>
      <c r="J111" s="24"/>
      <c r="K111" s="23">
        <v>1490.23</v>
      </c>
      <c r="L111" s="23">
        <v>1490.23</v>
      </c>
      <c r="M111" s="23"/>
      <c r="N111" s="23">
        <f>1490.23*2</f>
        <v>2980.46</v>
      </c>
      <c r="O111" s="23"/>
      <c r="P111" s="160">
        <f>1490.23*2</f>
        <v>2980.46</v>
      </c>
      <c r="Q111" s="120">
        <f t="shared" si="13"/>
        <v>1790.2299999999996</v>
      </c>
      <c r="R111" s="1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3">
        <f t="shared" si="14"/>
        <v>0</v>
      </c>
      <c r="AE111" s="107">
        <f t="shared" si="12"/>
        <v>1790.2299999999996</v>
      </c>
    </row>
    <row r="112" spans="1:31" x14ac:dyDescent="0.2">
      <c r="A112" s="95">
        <f t="shared" si="10"/>
        <v>110</v>
      </c>
      <c r="B112" s="21">
        <v>110</v>
      </c>
      <c r="C112" s="82" t="s">
        <v>42</v>
      </c>
      <c r="D112" s="8" t="s">
        <v>60</v>
      </c>
      <c r="E112" s="29">
        <v>41444</v>
      </c>
      <c r="F112" s="26">
        <v>6</v>
      </c>
      <c r="G112" s="27">
        <v>12</v>
      </c>
      <c r="H112" s="27">
        <f t="shared" si="15"/>
        <v>7</v>
      </c>
      <c r="I112" s="40">
        <f t="shared" si="16"/>
        <v>10731.61</v>
      </c>
      <c r="J112" s="24"/>
      <c r="K112" s="23"/>
      <c r="L112" s="23">
        <v>10431.61</v>
      </c>
      <c r="M112" s="23"/>
      <c r="N112" s="23"/>
      <c r="O112" s="23"/>
      <c r="P112" s="118"/>
      <c r="Q112" s="120">
        <f t="shared" si="13"/>
        <v>300</v>
      </c>
      <c r="R112" s="1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3">
        <f t="shared" si="14"/>
        <v>0</v>
      </c>
      <c r="AE112" s="107">
        <f t="shared" si="12"/>
        <v>300</v>
      </c>
    </row>
    <row r="113" spans="1:31" x14ac:dyDescent="0.2">
      <c r="A113" s="94">
        <f t="shared" si="10"/>
        <v>111</v>
      </c>
      <c r="B113" s="21">
        <v>111</v>
      </c>
      <c r="C113" s="83" t="s">
        <v>88</v>
      </c>
      <c r="D113" s="48" t="s">
        <v>92</v>
      </c>
      <c r="E113" s="29">
        <v>41465</v>
      </c>
      <c r="F113" s="28">
        <v>6</v>
      </c>
      <c r="G113" s="37">
        <v>12</v>
      </c>
      <c r="H113" s="37">
        <f t="shared" si="15"/>
        <v>7</v>
      </c>
      <c r="I113" s="40">
        <f t="shared" si="16"/>
        <v>10731.61</v>
      </c>
      <c r="J113" s="24"/>
      <c r="K113" s="23">
        <v>1490.23</v>
      </c>
      <c r="L113" s="23">
        <v>1490.23</v>
      </c>
      <c r="M113" s="23">
        <v>1490.23</v>
      </c>
      <c r="N113" s="23">
        <v>1490.23</v>
      </c>
      <c r="O113" s="23">
        <v>1490.23</v>
      </c>
      <c r="P113" s="160">
        <v>1490.23</v>
      </c>
      <c r="Q113" s="120">
        <f t="shared" si="13"/>
        <v>1790.2300000000014</v>
      </c>
      <c r="R113" s="1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3">
        <f t="shared" si="14"/>
        <v>0</v>
      </c>
      <c r="AE113" s="107">
        <f t="shared" si="12"/>
        <v>1790.2300000000014</v>
      </c>
    </row>
    <row r="114" spans="1:31" x14ac:dyDescent="0.2">
      <c r="A114" s="95">
        <f t="shared" si="10"/>
        <v>112</v>
      </c>
      <c r="B114" s="21">
        <v>112</v>
      </c>
      <c r="C114" s="82" t="s">
        <v>34</v>
      </c>
      <c r="D114" s="8" t="s">
        <v>61</v>
      </c>
      <c r="E114" s="29">
        <v>41444</v>
      </c>
      <c r="F114" s="28">
        <v>6</v>
      </c>
      <c r="G114" s="37">
        <v>12</v>
      </c>
      <c r="H114" s="37">
        <f t="shared" si="15"/>
        <v>7</v>
      </c>
      <c r="I114" s="40">
        <f t="shared" si="16"/>
        <v>10731.61</v>
      </c>
      <c r="J114" s="24"/>
      <c r="K114" s="23">
        <v>2980.46</v>
      </c>
      <c r="L114" s="23">
        <v>1490.23</v>
      </c>
      <c r="M114" s="23">
        <v>1490.23</v>
      </c>
      <c r="N114" s="23"/>
      <c r="O114" s="23">
        <f>(1490.23*2)+3580</f>
        <v>6560.46</v>
      </c>
      <c r="P114" s="118"/>
      <c r="Q114" s="120">
        <f t="shared" si="13"/>
        <v>-1789.7700000000004</v>
      </c>
      <c r="R114" s="24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3">
        <f t="shared" si="14"/>
        <v>0</v>
      </c>
      <c r="AE114" s="107">
        <f t="shared" si="12"/>
        <v>-1789.7700000000004</v>
      </c>
    </row>
    <row r="115" spans="1:31" x14ac:dyDescent="0.2">
      <c r="A115" s="95">
        <f t="shared" si="10"/>
        <v>113</v>
      </c>
      <c r="B115" s="21">
        <v>113</v>
      </c>
      <c r="C115" s="81" t="s">
        <v>118</v>
      </c>
      <c r="D115" s="46" t="s">
        <v>190</v>
      </c>
      <c r="E115" s="29">
        <v>41477</v>
      </c>
      <c r="F115" s="28">
        <v>6</v>
      </c>
      <c r="G115" s="37">
        <v>12</v>
      </c>
      <c r="H115" s="37">
        <f t="shared" si="15"/>
        <v>7</v>
      </c>
      <c r="I115" s="40">
        <f t="shared" si="16"/>
        <v>10731.61</v>
      </c>
      <c r="J115" s="24"/>
      <c r="K115" s="23"/>
      <c r="L115" s="23"/>
      <c r="M115" s="23"/>
      <c r="N115" s="23"/>
      <c r="O115" s="23"/>
      <c r="P115" s="118">
        <v>10431.61</v>
      </c>
      <c r="Q115" s="120">
        <f t="shared" ref="Q115:Q146" si="17">SUM(I115-(J115+K115+L115+M115+N115+O115+P115))</f>
        <v>300</v>
      </c>
      <c r="R115" s="1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3">
        <f t="shared" si="14"/>
        <v>0</v>
      </c>
      <c r="AE115" s="107">
        <f t="shared" si="12"/>
        <v>300</v>
      </c>
    </row>
    <row r="116" spans="1:31" x14ac:dyDescent="0.2">
      <c r="A116" s="95">
        <f t="shared" si="10"/>
        <v>114</v>
      </c>
      <c r="B116" s="21">
        <v>114</v>
      </c>
      <c r="C116" s="81" t="s">
        <v>119</v>
      </c>
      <c r="D116" s="46" t="s">
        <v>250</v>
      </c>
      <c r="E116" s="29">
        <v>41426</v>
      </c>
      <c r="F116" s="28">
        <v>6</v>
      </c>
      <c r="G116" s="37">
        <v>12</v>
      </c>
      <c r="H116" s="37">
        <f t="shared" si="15"/>
        <v>7</v>
      </c>
      <c r="I116" s="40">
        <f t="shared" si="16"/>
        <v>10731.61</v>
      </c>
      <c r="J116" s="24"/>
      <c r="K116" s="23"/>
      <c r="L116" s="23"/>
      <c r="M116" s="23"/>
      <c r="N116" s="23"/>
      <c r="O116" s="23"/>
      <c r="P116" s="118">
        <v>16392.53</v>
      </c>
      <c r="Q116" s="120">
        <f t="shared" si="17"/>
        <v>-5660.9199999999983</v>
      </c>
      <c r="R116" s="24"/>
      <c r="S116" s="23"/>
      <c r="T116" s="23"/>
      <c r="U116" s="5"/>
      <c r="V116" s="5"/>
      <c r="W116" s="5"/>
      <c r="X116" s="5"/>
      <c r="Y116" s="5"/>
      <c r="Z116" s="5"/>
      <c r="AA116" s="5"/>
      <c r="AB116" s="5"/>
      <c r="AC116" s="5"/>
      <c r="AD116" s="53">
        <f t="shared" si="14"/>
        <v>0</v>
      </c>
      <c r="AE116" s="107">
        <f t="shared" si="12"/>
        <v>-5660.9199999999983</v>
      </c>
    </row>
    <row r="117" spans="1:31" x14ac:dyDescent="0.2">
      <c r="A117" s="95">
        <f t="shared" si="10"/>
        <v>115</v>
      </c>
      <c r="B117" s="21">
        <v>115</v>
      </c>
      <c r="C117" s="84" t="s">
        <v>208</v>
      </c>
      <c r="D117" s="46" t="s">
        <v>263</v>
      </c>
      <c r="E117" s="29">
        <v>41426</v>
      </c>
      <c r="F117" s="28">
        <v>6</v>
      </c>
      <c r="G117" s="37">
        <v>12</v>
      </c>
      <c r="H117" s="37">
        <f t="shared" si="15"/>
        <v>7</v>
      </c>
      <c r="I117" s="40">
        <f t="shared" si="16"/>
        <v>10731.61</v>
      </c>
      <c r="J117" s="161"/>
      <c r="K117" s="159"/>
      <c r="L117" s="159"/>
      <c r="M117" s="159"/>
      <c r="N117" s="159"/>
      <c r="O117" s="159"/>
      <c r="P117" s="160"/>
      <c r="Q117" s="120">
        <f t="shared" si="17"/>
        <v>10731.61</v>
      </c>
      <c r="R117" s="1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3">
        <f t="shared" si="14"/>
        <v>0</v>
      </c>
      <c r="AE117" s="107">
        <f t="shared" si="12"/>
        <v>10731.61</v>
      </c>
    </row>
    <row r="118" spans="1:31" x14ac:dyDescent="0.2">
      <c r="A118" s="95">
        <f t="shared" si="10"/>
        <v>116</v>
      </c>
      <c r="B118" s="21">
        <v>116</v>
      </c>
      <c r="C118" s="81" t="s">
        <v>122</v>
      </c>
      <c r="D118" s="46" t="s">
        <v>192</v>
      </c>
      <c r="E118" s="29">
        <v>41484</v>
      </c>
      <c r="F118" s="28">
        <v>6</v>
      </c>
      <c r="G118" s="37">
        <v>12</v>
      </c>
      <c r="H118" s="37">
        <f t="shared" si="15"/>
        <v>7</v>
      </c>
      <c r="I118" s="40">
        <f t="shared" si="16"/>
        <v>10731.61</v>
      </c>
      <c r="J118" s="24"/>
      <c r="K118" s="23"/>
      <c r="L118" s="23"/>
      <c r="M118" s="23"/>
      <c r="N118" s="23"/>
      <c r="O118" s="23"/>
      <c r="P118" s="118">
        <v>10732</v>
      </c>
      <c r="Q118" s="120">
        <f t="shared" si="17"/>
        <v>-0.38999999999941792</v>
      </c>
      <c r="R118" s="1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3">
        <f t="shared" si="14"/>
        <v>0</v>
      </c>
      <c r="AE118" s="107">
        <f t="shared" si="12"/>
        <v>-0.38999999999941792</v>
      </c>
    </row>
    <row r="119" spans="1:31" x14ac:dyDescent="0.2">
      <c r="A119" s="95">
        <f t="shared" si="10"/>
        <v>117</v>
      </c>
      <c r="B119" s="21">
        <v>117</v>
      </c>
      <c r="C119" s="147" t="s">
        <v>162</v>
      </c>
      <c r="D119" s="8" t="s">
        <v>163</v>
      </c>
      <c r="E119" s="29">
        <v>41451</v>
      </c>
      <c r="F119" s="28">
        <v>6</v>
      </c>
      <c r="G119" s="37">
        <v>12</v>
      </c>
      <c r="H119" s="37">
        <f t="shared" si="15"/>
        <v>7</v>
      </c>
      <c r="I119" s="40">
        <f t="shared" si="16"/>
        <v>10731.61</v>
      </c>
      <c r="J119" s="24"/>
      <c r="K119" s="23"/>
      <c r="L119" s="23"/>
      <c r="M119" s="23">
        <v>4470.6899999999996</v>
      </c>
      <c r="N119" s="23"/>
      <c r="O119" s="23">
        <v>2980.46</v>
      </c>
      <c r="P119" s="118">
        <f>1490.23+1790</f>
        <v>3280.23</v>
      </c>
      <c r="Q119" s="120">
        <f t="shared" si="17"/>
        <v>0.23000000000138243</v>
      </c>
      <c r="R119" s="1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3">
        <f t="shared" si="14"/>
        <v>0</v>
      </c>
      <c r="AE119" s="107">
        <f t="shared" si="12"/>
        <v>0.23000000000138243</v>
      </c>
    </row>
    <row r="120" spans="1:31" x14ac:dyDescent="0.2">
      <c r="A120" s="95">
        <f t="shared" si="10"/>
        <v>118</v>
      </c>
      <c r="B120" s="21">
        <v>118</v>
      </c>
      <c r="C120" s="82" t="s">
        <v>30</v>
      </c>
      <c r="D120" s="8" t="s">
        <v>62</v>
      </c>
      <c r="E120" s="29">
        <v>41444</v>
      </c>
      <c r="F120" s="28">
        <v>6</v>
      </c>
      <c r="G120" s="37">
        <v>12</v>
      </c>
      <c r="H120" s="37">
        <f t="shared" si="15"/>
        <v>7</v>
      </c>
      <c r="I120" s="40">
        <f t="shared" si="16"/>
        <v>10731.61</v>
      </c>
      <c r="J120" s="24"/>
      <c r="K120" s="23">
        <v>1490.23</v>
      </c>
      <c r="L120" s="23">
        <v>1490.23</v>
      </c>
      <c r="M120" s="23">
        <v>1490.23</v>
      </c>
      <c r="N120" s="23">
        <v>1490.23</v>
      </c>
      <c r="O120" s="23">
        <v>1490.23</v>
      </c>
      <c r="P120" s="118">
        <f>1490.23+1790.23</f>
        <v>3280.46</v>
      </c>
      <c r="Q120" s="120">
        <f t="shared" si="17"/>
        <v>0</v>
      </c>
      <c r="R120" s="1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3">
        <f t="shared" si="14"/>
        <v>0</v>
      </c>
      <c r="AE120" s="107">
        <f t="shared" si="12"/>
        <v>0</v>
      </c>
    </row>
    <row r="121" spans="1:31" x14ac:dyDescent="0.2">
      <c r="A121" s="95">
        <f t="shared" si="10"/>
        <v>119</v>
      </c>
      <c r="B121" s="21">
        <v>119</v>
      </c>
      <c r="C121" s="113" t="s">
        <v>209</v>
      </c>
      <c r="D121" s="50"/>
      <c r="E121" s="51"/>
      <c r="F121" s="28">
        <v>6</v>
      </c>
      <c r="G121" s="37">
        <v>12</v>
      </c>
      <c r="H121" s="37">
        <f t="shared" si="15"/>
        <v>7</v>
      </c>
      <c r="I121" s="40">
        <f t="shared" si="16"/>
        <v>10731.61</v>
      </c>
      <c r="J121" s="15"/>
      <c r="K121" s="5"/>
      <c r="L121" s="5"/>
      <c r="M121" s="5"/>
      <c r="N121" s="5"/>
      <c r="O121" s="5"/>
      <c r="P121" s="117"/>
      <c r="Q121" s="120">
        <f t="shared" si="17"/>
        <v>10731.61</v>
      </c>
      <c r="R121" s="1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3">
        <f t="shared" si="14"/>
        <v>0</v>
      </c>
      <c r="AE121" s="107">
        <f t="shared" si="12"/>
        <v>10731.61</v>
      </c>
    </row>
    <row r="122" spans="1:31" x14ac:dyDescent="0.2">
      <c r="A122" s="95">
        <f t="shared" si="10"/>
        <v>120</v>
      </c>
      <c r="B122" s="21">
        <v>120</v>
      </c>
      <c r="C122" s="82" t="s">
        <v>50</v>
      </c>
      <c r="D122" s="8" t="s">
        <v>63</v>
      </c>
      <c r="E122" s="29">
        <v>41444</v>
      </c>
      <c r="F122" s="28">
        <v>6</v>
      </c>
      <c r="G122" s="37">
        <v>12</v>
      </c>
      <c r="H122" s="37">
        <f t="shared" si="15"/>
        <v>7</v>
      </c>
      <c r="I122" s="40">
        <f t="shared" si="16"/>
        <v>10731.61</v>
      </c>
      <c r="J122" s="24"/>
      <c r="K122" s="23">
        <v>4470.6899999999996</v>
      </c>
      <c r="L122" s="23"/>
      <c r="M122" s="23"/>
      <c r="N122" s="23"/>
      <c r="O122" s="23"/>
      <c r="P122" s="118">
        <f>4470.69+5370.69</f>
        <v>9841.3799999999992</v>
      </c>
      <c r="Q122" s="120">
        <f t="shared" si="17"/>
        <v>-3580.4599999999991</v>
      </c>
      <c r="R122" s="1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3">
        <f t="shared" si="14"/>
        <v>0</v>
      </c>
      <c r="AE122" s="107">
        <f t="shared" si="12"/>
        <v>-3580.4599999999991</v>
      </c>
    </row>
    <row r="123" spans="1:31" x14ac:dyDescent="0.2">
      <c r="A123" s="94">
        <f t="shared" si="10"/>
        <v>121</v>
      </c>
      <c r="B123" s="21">
        <v>121</v>
      </c>
      <c r="C123" s="81" t="s">
        <v>99</v>
      </c>
      <c r="D123" s="46" t="s">
        <v>176</v>
      </c>
      <c r="E123" s="29">
        <v>41465</v>
      </c>
      <c r="F123" s="28">
        <v>6</v>
      </c>
      <c r="G123" s="37">
        <v>12</v>
      </c>
      <c r="H123" s="37">
        <f t="shared" si="15"/>
        <v>7</v>
      </c>
      <c r="I123" s="40">
        <f t="shared" si="16"/>
        <v>10731.61</v>
      </c>
      <c r="J123" s="24"/>
      <c r="K123" s="36"/>
      <c r="L123" s="36">
        <v>5960.92</v>
      </c>
      <c r="M123" s="36"/>
      <c r="N123" s="23"/>
      <c r="O123" s="23">
        <v>4777</v>
      </c>
      <c r="P123" s="118"/>
      <c r="Q123" s="120">
        <f t="shared" si="17"/>
        <v>-6.3099999999994907</v>
      </c>
      <c r="R123" s="1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3">
        <f t="shared" si="14"/>
        <v>0</v>
      </c>
      <c r="AE123" s="107">
        <f t="shared" si="12"/>
        <v>-6.3099999999994907</v>
      </c>
    </row>
    <row r="124" spans="1:31" x14ac:dyDescent="0.2">
      <c r="A124" s="95">
        <f t="shared" si="10"/>
        <v>122</v>
      </c>
      <c r="B124" s="21">
        <v>122</v>
      </c>
      <c r="C124" s="82" t="s">
        <v>17</v>
      </c>
      <c r="D124" s="46" t="s">
        <v>174</v>
      </c>
      <c r="E124" s="29">
        <v>41422</v>
      </c>
      <c r="F124" s="28">
        <v>6</v>
      </c>
      <c r="G124" s="37">
        <v>12</v>
      </c>
      <c r="H124" s="37">
        <f t="shared" si="15"/>
        <v>7</v>
      </c>
      <c r="I124" s="40">
        <f t="shared" si="16"/>
        <v>10731.61</v>
      </c>
      <c r="J124" s="24"/>
      <c r="K124" s="23"/>
      <c r="L124" s="23"/>
      <c r="M124" s="23"/>
      <c r="N124" s="23"/>
      <c r="O124" s="23"/>
      <c r="P124" s="118">
        <v>10731.61</v>
      </c>
      <c r="Q124" s="120">
        <f t="shared" si="17"/>
        <v>0</v>
      </c>
      <c r="R124" s="1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3">
        <f t="shared" si="14"/>
        <v>0</v>
      </c>
      <c r="AE124" s="107">
        <f t="shared" si="12"/>
        <v>0</v>
      </c>
    </row>
    <row r="125" spans="1:31" x14ac:dyDescent="0.2">
      <c r="A125" s="95">
        <f t="shared" si="10"/>
        <v>123</v>
      </c>
      <c r="B125" s="21">
        <v>123</v>
      </c>
      <c r="C125" s="82" t="s">
        <v>41</v>
      </c>
      <c r="D125" s="46" t="s">
        <v>169</v>
      </c>
      <c r="E125" s="29">
        <v>41498</v>
      </c>
      <c r="F125" s="28">
        <v>6</v>
      </c>
      <c r="G125" s="37">
        <v>12</v>
      </c>
      <c r="H125" s="37">
        <f t="shared" si="15"/>
        <v>7</v>
      </c>
      <c r="I125" s="40">
        <f t="shared" si="16"/>
        <v>10731.61</v>
      </c>
      <c r="J125" s="75"/>
      <c r="K125" s="25"/>
      <c r="L125" s="5"/>
      <c r="M125" s="5"/>
      <c r="N125" s="5"/>
      <c r="O125" s="5"/>
      <c r="P125" s="117"/>
      <c r="Q125" s="120">
        <f t="shared" si="17"/>
        <v>10731.61</v>
      </c>
      <c r="R125" s="1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3">
        <f t="shared" si="14"/>
        <v>0</v>
      </c>
      <c r="AE125" s="107">
        <f t="shared" si="12"/>
        <v>10731.61</v>
      </c>
    </row>
    <row r="126" spans="1:31" x14ac:dyDescent="0.2">
      <c r="A126" s="95">
        <f t="shared" si="10"/>
        <v>124</v>
      </c>
      <c r="B126" s="21">
        <v>124</v>
      </c>
      <c r="C126" s="82" t="s">
        <v>69</v>
      </c>
      <c r="D126" s="8" t="s">
        <v>70</v>
      </c>
      <c r="E126" s="29">
        <v>41445</v>
      </c>
      <c r="F126" s="28">
        <v>6</v>
      </c>
      <c r="G126" s="37">
        <v>12</v>
      </c>
      <c r="H126" s="37">
        <f t="shared" si="15"/>
        <v>7</v>
      </c>
      <c r="I126" s="40">
        <f t="shared" si="16"/>
        <v>10731.61</v>
      </c>
      <c r="J126" s="24"/>
      <c r="K126" s="23"/>
      <c r="L126" s="23"/>
      <c r="M126" s="23">
        <v>7451.15</v>
      </c>
      <c r="N126" s="23"/>
      <c r="O126" s="23">
        <v>4470.6899999999996</v>
      </c>
      <c r="P126" s="118"/>
      <c r="Q126" s="120">
        <f t="shared" si="17"/>
        <v>-1190.2299999999996</v>
      </c>
      <c r="R126" s="24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3">
        <f t="shared" si="14"/>
        <v>0</v>
      </c>
      <c r="AE126" s="107">
        <f t="shared" si="12"/>
        <v>-1190.2299999999996</v>
      </c>
    </row>
    <row r="127" spans="1:31" x14ac:dyDescent="0.2">
      <c r="A127" s="95">
        <f t="shared" si="10"/>
        <v>125</v>
      </c>
      <c r="B127" s="21">
        <v>125</v>
      </c>
      <c r="C127" s="81" t="s">
        <v>127</v>
      </c>
      <c r="D127" s="46" t="s">
        <v>173</v>
      </c>
      <c r="E127" s="29">
        <v>41498</v>
      </c>
      <c r="F127" s="28">
        <v>8</v>
      </c>
      <c r="G127" s="37">
        <v>12</v>
      </c>
      <c r="H127" s="37">
        <f t="shared" si="15"/>
        <v>5</v>
      </c>
      <c r="I127" s="40">
        <f t="shared" si="16"/>
        <v>7751.15</v>
      </c>
      <c r="J127" s="16"/>
      <c r="K127" s="35"/>
      <c r="L127" s="23"/>
      <c r="M127" s="23"/>
      <c r="N127" s="23"/>
      <c r="O127" s="23"/>
      <c r="P127" s="118">
        <f>5960.92+1790.23+1490.23+1490.23</f>
        <v>10731.609999999999</v>
      </c>
      <c r="Q127" s="120">
        <f t="shared" si="17"/>
        <v>-2980.4599999999991</v>
      </c>
      <c r="R127" s="1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3">
        <f t="shared" si="14"/>
        <v>0</v>
      </c>
      <c r="AE127" s="107">
        <f t="shared" si="12"/>
        <v>-2980.4599999999991</v>
      </c>
    </row>
    <row r="128" spans="1:31" x14ac:dyDescent="0.2">
      <c r="A128" s="95">
        <f t="shared" si="10"/>
        <v>126</v>
      </c>
      <c r="B128" s="21">
        <v>126</v>
      </c>
      <c r="C128" s="111" t="s">
        <v>128</v>
      </c>
      <c r="D128" s="50"/>
      <c r="E128" s="51"/>
      <c r="F128" s="28">
        <v>6</v>
      </c>
      <c r="G128" s="37">
        <v>12</v>
      </c>
      <c r="H128" s="37">
        <f t="shared" si="15"/>
        <v>7</v>
      </c>
      <c r="I128" s="40">
        <f t="shared" si="16"/>
        <v>10731.61</v>
      </c>
      <c r="J128" s="24"/>
      <c r="K128" s="23"/>
      <c r="L128" s="23"/>
      <c r="M128" s="23"/>
      <c r="N128" s="23"/>
      <c r="O128" s="23"/>
      <c r="P128" s="118">
        <v>10731.61</v>
      </c>
      <c r="Q128" s="120">
        <f t="shared" si="17"/>
        <v>0</v>
      </c>
      <c r="R128" s="1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3">
        <f t="shared" si="14"/>
        <v>0</v>
      </c>
      <c r="AE128" s="107">
        <f t="shared" si="12"/>
        <v>0</v>
      </c>
    </row>
    <row r="129" spans="1:31" x14ac:dyDescent="0.2">
      <c r="A129" s="95">
        <f t="shared" si="10"/>
        <v>127</v>
      </c>
      <c r="B129" s="21">
        <v>127</v>
      </c>
      <c r="C129" s="111" t="s">
        <v>129</v>
      </c>
      <c r="D129" s="50"/>
      <c r="E129" s="51"/>
      <c r="F129" s="28">
        <v>6</v>
      </c>
      <c r="G129" s="37">
        <v>12</v>
      </c>
      <c r="H129" s="37">
        <f t="shared" si="15"/>
        <v>7</v>
      </c>
      <c r="I129" s="40">
        <f t="shared" si="16"/>
        <v>10731.61</v>
      </c>
      <c r="J129" s="24"/>
      <c r="K129" s="23"/>
      <c r="L129" s="23"/>
      <c r="M129" s="23"/>
      <c r="N129" s="23"/>
      <c r="O129" s="23"/>
      <c r="P129" s="118">
        <f>8941.38+1790.22</f>
        <v>10731.599999999999</v>
      </c>
      <c r="Q129" s="120">
        <f t="shared" si="17"/>
        <v>1.0000000002037268E-2</v>
      </c>
      <c r="R129" s="1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3">
        <f t="shared" si="14"/>
        <v>0</v>
      </c>
      <c r="AE129" s="107">
        <f t="shared" si="12"/>
        <v>1.0000000002037268E-2</v>
      </c>
    </row>
    <row r="130" spans="1:31" x14ac:dyDescent="0.2">
      <c r="A130" s="95">
        <f t="shared" si="10"/>
        <v>128</v>
      </c>
      <c r="B130" s="22">
        <v>128</v>
      </c>
      <c r="C130" s="97" t="s">
        <v>202</v>
      </c>
      <c r="D130" s="50"/>
      <c r="E130" s="51"/>
      <c r="F130" s="26">
        <v>6</v>
      </c>
      <c r="G130" s="27">
        <v>12</v>
      </c>
      <c r="H130" s="37">
        <f t="shared" si="15"/>
        <v>7</v>
      </c>
      <c r="I130" s="40">
        <f t="shared" si="16"/>
        <v>10731.61</v>
      </c>
      <c r="J130" s="15"/>
      <c r="K130" s="5"/>
      <c r="L130" s="5"/>
      <c r="M130" s="5"/>
      <c r="N130" s="5"/>
      <c r="O130" s="5"/>
      <c r="P130" s="117"/>
      <c r="Q130" s="120">
        <f t="shared" si="17"/>
        <v>10731.61</v>
      </c>
      <c r="R130" s="1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3">
        <f t="shared" si="14"/>
        <v>0</v>
      </c>
      <c r="AE130" s="107">
        <f t="shared" si="12"/>
        <v>10731.61</v>
      </c>
    </row>
    <row r="131" spans="1:31" x14ac:dyDescent="0.2">
      <c r="A131" s="95">
        <f t="shared" ref="A131:A192" si="18">SUM(A130+1)</f>
        <v>129</v>
      </c>
      <c r="B131" s="21">
        <v>129</v>
      </c>
      <c r="C131" s="111" t="s">
        <v>130</v>
      </c>
      <c r="D131" s="50"/>
      <c r="E131" s="51"/>
      <c r="F131" s="26">
        <v>6</v>
      </c>
      <c r="G131" s="27">
        <v>12</v>
      </c>
      <c r="H131" s="37">
        <f t="shared" si="15"/>
        <v>7</v>
      </c>
      <c r="I131" s="40">
        <f t="shared" si="16"/>
        <v>10731.61</v>
      </c>
      <c r="J131" s="15"/>
      <c r="K131" s="5"/>
      <c r="L131" s="5"/>
      <c r="M131" s="5"/>
      <c r="N131" s="5"/>
      <c r="O131" s="5"/>
      <c r="P131" s="117"/>
      <c r="Q131" s="120">
        <f t="shared" si="17"/>
        <v>10731.61</v>
      </c>
      <c r="R131" s="1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3">
        <f t="shared" ref="AD131:AD162" si="19">SUM(R131:AC131)</f>
        <v>0</v>
      </c>
      <c r="AE131" s="107">
        <f t="shared" ref="AE131:AE194" si="20">AD131+Q131</f>
        <v>10731.61</v>
      </c>
    </row>
    <row r="132" spans="1:31" x14ac:dyDescent="0.2">
      <c r="A132" s="95">
        <f t="shared" si="18"/>
        <v>130</v>
      </c>
      <c r="B132" s="21">
        <v>130</v>
      </c>
      <c r="C132" s="81" t="s">
        <v>28</v>
      </c>
      <c r="D132" s="8" t="s">
        <v>29</v>
      </c>
      <c r="E132" s="29">
        <v>41429</v>
      </c>
      <c r="F132" s="28">
        <v>6</v>
      </c>
      <c r="G132" s="37">
        <v>12</v>
      </c>
      <c r="H132" s="37">
        <f t="shared" si="15"/>
        <v>7</v>
      </c>
      <c r="I132" s="40">
        <f t="shared" si="16"/>
        <v>10731.61</v>
      </c>
      <c r="J132" s="24">
        <v>1490.23</v>
      </c>
      <c r="K132" s="23">
        <v>1490.23</v>
      </c>
      <c r="L132" s="23">
        <v>1490.23</v>
      </c>
      <c r="M132" s="23">
        <v>1490.23</v>
      </c>
      <c r="N132" s="5"/>
      <c r="O132" s="5"/>
      <c r="P132" s="117"/>
      <c r="Q132" s="120">
        <f t="shared" si="17"/>
        <v>4770.6900000000005</v>
      </c>
      <c r="R132" s="1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3">
        <f t="shared" si="19"/>
        <v>0</v>
      </c>
      <c r="AE132" s="107">
        <f t="shared" si="20"/>
        <v>4770.6900000000005</v>
      </c>
    </row>
    <row r="133" spans="1:31" x14ac:dyDescent="0.2">
      <c r="A133" s="94">
        <f t="shared" si="18"/>
        <v>131</v>
      </c>
      <c r="B133" s="21">
        <v>131</v>
      </c>
      <c r="C133" s="111" t="s">
        <v>132</v>
      </c>
      <c r="D133" s="50"/>
      <c r="E133" s="51"/>
      <c r="F133" s="26">
        <v>6</v>
      </c>
      <c r="G133" s="27">
        <v>12</v>
      </c>
      <c r="H133" s="37">
        <f t="shared" si="15"/>
        <v>7</v>
      </c>
      <c r="I133" s="40">
        <f t="shared" si="16"/>
        <v>10731.61</v>
      </c>
      <c r="J133" s="24"/>
      <c r="K133" s="23"/>
      <c r="L133" s="23"/>
      <c r="M133" s="23"/>
      <c r="N133" s="5"/>
      <c r="O133" s="5">
        <v>5960.92</v>
      </c>
      <c r="P133" s="117"/>
      <c r="Q133" s="120">
        <f t="shared" si="17"/>
        <v>4770.6900000000005</v>
      </c>
      <c r="R133" s="1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3">
        <f t="shared" si="19"/>
        <v>0</v>
      </c>
      <c r="AE133" s="107">
        <f t="shared" si="20"/>
        <v>4770.6900000000005</v>
      </c>
    </row>
    <row r="134" spans="1:31" x14ac:dyDescent="0.2">
      <c r="A134" s="95">
        <f t="shared" si="18"/>
        <v>132</v>
      </c>
      <c r="B134" s="21">
        <v>132</v>
      </c>
      <c r="C134" s="111" t="s">
        <v>131</v>
      </c>
      <c r="D134" s="50"/>
      <c r="E134" s="51"/>
      <c r="F134" s="28">
        <v>7</v>
      </c>
      <c r="G134" s="37">
        <v>12</v>
      </c>
      <c r="H134" s="37">
        <f>G134-F134+1</f>
        <v>6</v>
      </c>
      <c r="I134" s="40">
        <f t="shared" si="16"/>
        <v>9241.380000000001</v>
      </c>
      <c r="J134" s="16"/>
      <c r="K134" s="23"/>
      <c r="L134" s="23"/>
      <c r="M134" s="23"/>
      <c r="N134" s="23"/>
      <c r="O134" s="23"/>
      <c r="P134" s="118">
        <v>9241.3799999999992</v>
      </c>
      <c r="Q134" s="120">
        <f t="shared" si="17"/>
        <v>1.8189894035458565E-12</v>
      </c>
      <c r="R134" s="1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3">
        <f t="shared" si="19"/>
        <v>0</v>
      </c>
      <c r="AE134" s="107">
        <f t="shared" si="20"/>
        <v>1.8189894035458565E-12</v>
      </c>
    </row>
    <row r="135" spans="1:31" hidden="1" x14ac:dyDescent="0.2">
      <c r="A135" s="95">
        <f t="shared" si="18"/>
        <v>133</v>
      </c>
      <c r="B135" s="21">
        <v>133</v>
      </c>
      <c r="C135" s="108"/>
      <c r="D135" s="109"/>
      <c r="E135" s="110"/>
      <c r="F135" s="18"/>
      <c r="G135" s="14"/>
      <c r="H135" s="2"/>
      <c r="I135" s="20"/>
      <c r="J135" s="15"/>
      <c r="K135" s="5"/>
      <c r="L135" s="5"/>
      <c r="M135" s="5"/>
      <c r="N135" s="5"/>
      <c r="O135" s="5"/>
      <c r="P135" s="32"/>
      <c r="Q135" s="33">
        <f t="shared" si="17"/>
        <v>0</v>
      </c>
      <c r="R135" s="1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3">
        <f t="shared" si="19"/>
        <v>0</v>
      </c>
      <c r="AE135" s="33">
        <f t="shared" si="20"/>
        <v>0</v>
      </c>
    </row>
    <row r="136" spans="1:31" hidden="1" x14ac:dyDescent="0.2">
      <c r="A136" s="95">
        <f t="shared" si="18"/>
        <v>134</v>
      </c>
      <c r="B136" s="21">
        <v>134</v>
      </c>
      <c r="C136" s="108"/>
      <c r="D136" s="109"/>
      <c r="E136" s="110"/>
      <c r="F136" s="18"/>
      <c r="G136" s="14"/>
      <c r="H136" s="2"/>
      <c r="I136" s="20"/>
      <c r="J136" s="15"/>
      <c r="K136" s="5"/>
      <c r="L136" s="5"/>
      <c r="M136" s="5"/>
      <c r="N136" s="5"/>
      <c r="O136" s="5"/>
      <c r="P136" s="32"/>
      <c r="Q136" s="33">
        <f t="shared" si="17"/>
        <v>0</v>
      </c>
      <c r="R136" s="1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3">
        <f t="shared" si="19"/>
        <v>0</v>
      </c>
      <c r="AE136" s="33">
        <f t="shared" si="20"/>
        <v>0</v>
      </c>
    </row>
    <row r="137" spans="1:31" x14ac:dyDescent="0.2">
      <c r="A137" s="95">
        <f t="shared" si="18"/>
        <v>135</v>
      </c>
      <c r="B137" s="21">
        <v>135</v>
      </c>
      <c r="C137" s="89" t="s">
        <v>83</v>
      </c>
      <c r="D137" s="49" t="s">
        <v>82</v>
      </c>
      <c r="E137" s="29">
        <v>41451</v>
      </c>
      <c r="F137" s="28">
        <v>6</v>
      </c>
      <c r="G137" s="37">
        <v>12</v>
      </c>
      <c r="H137" s="37">
        <f>SUM(G137-F137)+1</f>
        <v>7</v>
      </c>
      <c r="I137" s="40">
        <f>SUM(H137*$I$1)+300</f>
        <v>10731.61</v>
      </c>
      <c r="J137" s="24"/>
      <c r="K137" s="23">
        <v>1490.23</v>
      </c>
      <c r="L137" s="23">
        <v>1490.23</v>
      </c>
      <c r="M137" s="23">
        <v>1490.23</v>
      </c>
      <c r="N137" s="23">
        <v>1490.23</v>
      </c>
      <c r="O137" s="23">
        <f>1490.23*2</f>
        <v>2980.46</v>
      </c>
      <c r="P137" s="118">
        <f>1890+1790.23</f>
        <v>3680.23</v>
      </c>
      <c r="Q137" s="120">
        <f t="shared" si="17"/>
        <v>-1890</v>
      </c>
      <c r="R137" s="24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3">
        <f t="shared" si="19"/>
        <v>0</v>
      </c>
      <c r="AE137" s="107">
        <f t="shared" si="20"/>
        <v>-1890</v>
      </c>
    </row>
    <row r="138" spans="1:31" hidden="1" x14ac:dyDescent="0.2">
      <c r="A138" s="95">
        <f t="shared" si="18"/>
        <v>136</v>
      </c>
      <c r="B138" s="21">
        <v>136</v>
      </c>
      <c r="C138" s="108"/>
      <c r="D138" s="109"/>
      <c r="E138" s="110"/>
      <c r="F138" s="18"/>
      <c r="G138" s="14"/>
      <c r="H138" s="2"/>
      <c r="I138" s="20"/>
      <c r="J138" s="15"/>
      <c r="K138" s="15"/>
      <c r="L138" s="5"/>
      <c r="M138" s="5"/>
      <c r="N138" s="5"/>
      <c r="O138" s="5"/>
      <c r="P138" s="32"/>
      <c r="Q138" s="33">
        <f t="shared" si="17"/>
        <v>0</v>
      </c>
      <c r="R138" s="1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3">
        <f t="shared" si="19"/>
        <v>0</v>
      </c>
      <c r="AE138" s="33">
        <f t="shared" si="20"/>
        <v>0</v>
      </c>
    </row>
    <row r="139" spans="1:31" hidden="1" x14ac:dyDescent="0.2">
      <c r="A139" s="95">
        <f t="shared" si="18"/>
        <v>137</v>
      </c>
      <c r="B139" s="21">
        <v>137</v>
      </c>
      <c r="C139" s="108"/>
      <c r="D139" s="109"/>
      <c r="E139" s="110"/>
      <c r="F139" s="18"/>
      <c r="G139" s="14"/>
      <c r="H139" s="2"/>
      <c r="I139" s="20"/>
      <c r="J139" s="15"/>
      <c r="K139" s="5"/>
      <c r="L139" s="5"/>
      <c r="M139" s="5"/>
      <c r="N139" s="5"/>
      <c r="O139" s="5"/>
      <c r="P139" s="32"/>
      <c r="Q139" s="33">
        <f t="shared" si="17"/>
        <v>0</v>
      </c>
      <c r="R139" s="1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3">
        <f t="shared" si="19"/>
        <v>0</v>
      </c>
      <c r="AE139" s="33">
        <f t="shared" si="20"/>
        <v>0</v>
      </c>
    </row>
    <row r="140" spans="1:31" hidden="1" x14ac:dyDescent="0.2">
      <c r="A140" s="95">
        <f t="shared" si="18"/>
        <v>138</v>
      </c>
      <c r="B140" s="21">
        <v>138</v>
      </c>
      <c r="C140" s="108"/>
      <c r="D140" s="109"/>
      <c r="E140" s="110"/>
      <c r="F140" s="18"/>
      <c r="G140" s="14"/>
      <c r="H140" s="2"/>
      <c r="I140" s="20"/>
      <c r="J140" s="15"/>
      <c r="K140" s="5"/>
      <c r="L140" s="5"/>
      <c r="M140" s="5"/>
      <c r="N140" s="5"/>
      <c r="O140" s="5"/>
      <c r="P140" s="32"/>
      <c r="Q140" s="33">
        <f t="shared" si="17"/>
        <v>0</v>
      </c>
      <c r="R140" s="1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3">
        <f t="shared" si="19"/>
        <v>0</v>
      </c>
      <c r="AE140" s="33">
        <f t="shared" si="20"/>
        <v>0</v>
      </c>
    </row>
    <row r="141" spans="1:31" x14ac:dyDescent="0.2">
      <c r="A141" s="95">
        <f t="shared" si="18"/>
        <v>139</v>
      </c>
      <c r="B141" s="21">
        <v>139</v>
      </c>
      <c r="C141" s="84" t="s">
        <v>221</v>
      </c>
      <c r="D141" s="46" t="s">
        <v>238</v>
      </c>
      <c r="E141" s="29">
        <v>41547</v>
      </c>
      <c r="F141" s="28">
        <v>8</v>
      </c>
      <c r="G141" s="37">
        <v>12</v>
      </c>
      <c r="H141" s="37">
        <f>SUM(G141-F141)+1</f>
        <v>5</v>
      </c>
      <c r="I141" s="40">
        <f>SUM(H141*$I$1)+300</f>
        <v>7751.15</v>
      </c>
      <c r="J141" s="16"/>
      <c r="K141" s="35"/>
      <c r="L141" s="23"/>
      <c r="M141" s="23"/>
      <c r="N141" s="23">
        <v>2980.46</v>
      </c>
      <c r="O141" s="23">
        <f>2980.46+1790.23</f>
        <v>4770.6900000000005</v>
      </c>
      <c r="P141" s="118"/>
      <c r="Q141" s="120">
        <f t="shared" si="17"/>
        <v>-9.0949470177292824E-13</v>
      </c>
      <c r="R141" s="1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3">
        <f t="shared" si="19"/>
        <v>0</v>
      </c>
      <c r="AE141" s="107">
        <f t="shared" si="20"/>
        <v>-9.0949470177292824E-13</v>
      </c>
    </row>
    <row r="142" spans="1:31" x14ac:dyDescent="0.2">
      <c r="A142" s="95">
        <f t="shared" si="18"/>
        <v>140</v>
      </c>
      <c r="B142" s="21">
        <v>140</v>
      </c>
      <c r="C142" s="87" t="s">
        <v>85</v>
      </c>
      <c r="D142" s="44" t="s">
        <v>90</v>
      </c>
      <c r="E142" s="45">
        <v>41458</v>
      </c>
      <c r="F142" s="39">
        <v>6</v>
      </c>
      <c r="G142" s="37">
        <v>12</v>
      </c>
      <c r="H142" s="37">
        <f>SUM(G142-F142)+1</f>
        <v>7</v>
      </c>
      <c r="I142" s="40">
        <f>SUM(H142*$I$1)+300</f>
        <v>10731.61</v>
      </c>
      <c r="J142" s="24"/>
      <c r="K142" s="23">
        <v>1490.23</v>
      </c>
      <c r="L142" s="23">
        <v>1490.23</v>
      </c>
      <c r="M142" s="23">
        <v>1490.23</v>
      </c>
      <c r="N142" s="23">
        <v>1490.23</v>
      </c>
      <c r="O142" s="23">
        <v>1490.23</v>
      </c>
      <c r="P142" s="118">
        <f>1490.23+1790.23+21482.76</f>
        <v>24763.219999999998</v>
      </c>
      <c r="Q142" s="120">
        <f t="shared" si="17"/>
        <v>-21482.759999999995</v>
      </c>
      <c r="R142" s="1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3">
        <f t="shared" si="19"/>
        <v>0</v>
      </c>
      <c r="AE142" s="107">
        <f t="shared" si="20"/>
        <v>-21482.759999999995</v>
      </c>
    </row>
    <row r="143" spans="1:31" hidden="1" x14ac:dyDescent="0.2">
      <c r="A143" s="94">
        <f t="shared" si="18"/>
        <v>141</v>
      </c>
      <c r="B143" s="21">
        <v>141</v>
      </c>
      <c r="C143" s="108"/>
      <c r="D143" s="109"/>
      <c r="E143" s="110"/>
      <c r="F143" s="18"/>
      <c r="G143" s="14"/>
      <c r="H143" s="2"/>
      <c r="I143" s="20"/>
      <c r="J143" s="15"/>
      <c r="K143" s="5"/>
      <c r="L143" s="5"/>
      <c r="M143" s="5"/>
      <c r="N143" s="5"/>
      <c r="O143" s="5"/>
      <c r="P143" s="32"/>
      <c r="Q143" s="33">
        <f t="shared" si="17"/>
        <v>0</v>
      </c>
      <c r="R143" s="1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3">
        <f t="shared" si="19"/>
        <v>0</v>
      </c>
      <c r="AE143" s="33">
        <f t="shared" si="20"/>
        <v>0</v>
      </c>
    </row>
    <row r="144" spans="1:31" hidden="1" x14ac:dyDescent="0.2">
      <c r="A144" s="95">
        <f t="shared" si="18"/>
        <v>142</v>
      </c>
      <c r="B144" s="21">
        <v>142</v>
      </c>
      <c r="C144" s="108"/>
      <c r="D144" s="109"/>
      <c r="E144" s="110"/>
      <c r="F144" s="18"/>
      <c r="G144" s="14"/>
      <c r="H144" s="2"/>
      <c r="I144" s="20"/>
      <c r="J144" s="15"/>
      <c r="K144" s="5"/>
      <c r="L144" s="5"/>
      <c r="M144" s="5"/>
      <c r="N144" s="5"/>
      <c r="O144" s="5"/>
      <c r="P144" s="32"/>
      <c r="Q144" s="33">
        <f t="shared" si="17"/>
        <v>0</v>
      </c>
      <c r="R144" s="1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3">
        <f t="shared" si="19"/>
        <v>0</v>
      </c>
      <c r="AE144" s="33">
        <f t="shared" si="20"/>
        <v>0</v>
      </c>
    </row>
    <row r="145" spans="1:31" hidden="1" x14ac:dyDescent="0.2">
      <c r="A145" s="95">
        <f t="shared" si="18"/>
        <v>143</v>
      </c>
      <c r="B145" s="21">
        <v>143</v>
      </c>
      <c r="C145" s="108"/>
      <c r="D145" s="109"/>
      <c r="E145" s="110"/>
      <c r="F145" s="18"/>
      <c r="G145" s="14"/>
      <c r="H145" s="2"/>
      <c r="I145" s="20"/>
      <c r="J145" s="15"/>
      <c r="K145" s="5"/>
      <c r="L145" s="5"/>
      <c r="M145" s="5"/>
      <c r="N145" s="5"/>
      <c r="O145" s="5"/>
      <c r="P145" s="32"/>
      <c r="Q145" s="33">
        <f t="shared" si="17"/>
        <v>0</v>
      </c>
      <c r="R145" s="1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3">
        <f t="shared" si="19"/>
        <v>0</v>
      </c>
      <c r="AE145" s="33">
        <f t="shared" si="20"/>
        <v>0</v>
      </c>
    </row>
    <row r="146" spans="1:31" hidden="1" x14ac:dyDescent="0.2">
      <c r="A146" s="95">
        <f t="shared" si="18"/>
        <v>144</v>
      </c>
      <c r="B146" s="21">
        <v>144</v>
      </c>
      <c r="C146" s="108"/>
      <c r="D146" s="109"/>
      <c r="E146" s="110"/>
      <c r="F146" s="18"/>
      <c r="G146" s="14"/>
      <c r="H146" s="2"/>
      <c r="I146" s="20"/>
      <c r="J146" s="15"/>
      <c r="K146" s="5"/>
      <c r="L146" s="5"/>
      <c r="M146" s="5"/>
      <c r="N146" s="5"/>
      <c r="O146" s="5"/>
      <c r="P146" s="32"/>
      <c r="Q146" s="33">
        <f t="shared" si="17"/>
        <v>0</v>
      </c>
      <c r="R146" s="1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3">
        <f t="shared" si="19"/>
        <v>0</v>
      </c>
      <c r="AE146" s="33">
        <f t="shared" si="20"/>
        <v>0</v>
      </c>
    </row>
    <row r="147" spans="1:31" x14ac:dyDescent="0.2">
      <c r="A147" s="95">
        <f t="shared" si="18"/>
        <v>145</v>
      </c>
      <c r="B147" s="21">
        <v>145</v>
      </c>
      <c r="C147" s="81" t="s">
        <v>133</v>
      </c>
      <c r="D147" s="46" t="s">
        <v>167</v>
      </c>
      <c r="E147" s="29">
        <v>41491</v>
      </c>
      <c r="F147" s="28">
        <v>6</v>
      </c>
      <c r="G147" s="37">
        <v>12</v>
      </c>
      <c r="H147" s="37">
        <f>SUM(G147-F147)+1</f>
        <v>7</v>
      </c>
      <c r="I147" s="40">
        <f>SUM(H147*$I$1)+300</f>
        <v>10731.61</v>
      </c>
      <c r="J147" s="24"/>
      <c r="K147" s="23"/>
      <c r="L147" s="23"/>
      <c r="M147" s="23">
        <f>1490.23*2</f>
        <v>2980.46</v>
      </c>
      <c r="N147" s="23">
        <v>1490.23</v>
      </c>
      <c r="O147" s="23">
        <v>1490.23</v>
      </c>
      <c r="P147" s="118">
        <v>4770.6899999999996</v>
      </c>
      <c r="Q147" s="120">
        <f t="shared" ref="Q147:Q178" si="21">SUM(I147-(J147+K147+L147+M147+N147+O147+P147))</f>
        <v>0</v>
      </c>
      <c r="R147" s="1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3">
        <f t="shared" si="19"/>
        <v>0</v>
      </c>
      <c r="AE147" s="107">
        <f t="shared" si="20"/>
        <v>0</v>
      </c>
    </row>
    <row r="148" spans="1:31" hidden="1" x14ac:dyDescent="0.2">
      <c r="A148" s="95">
        <f t="shared" si="18"/>
        <v>146</v>
      </c>
      <c r="B148" s="21">
        <v>146</v>
      </c>
      <c r="C148" s="108"/>
      <c r="D148" s="109"/>
      <c r="E148" s="110"/>
      <c r="F148" s="18"/>
      <c r="G148" s="14"/>
      <c r="H148" s="2"/>
      <c r="I148" s="20"/>
      <c r="J148" s="15"/>
      <c r="K148" s="5"/>
      <c r="L148" s="5"/>
      <c r="M148" s="5"/>
      <c r="N148" s="5"/>
      <c r="O148" s="5"/>
      <c r="P148" s="32"/>
      <c r="Q148" s="33">
        <f t="shared" si="21"/>
        <v>0</v>
      </c>
      <c r="R148" s="1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3">
        <f t="shared" si="19"/>
        <v>0</v>
      </c>
      <c r="AE148" s="33">
        <f t="shared" si="20"/>
        <v>0</v>
      </c>
    </row>
    <row r="149" spans="1:31" hidden="1" x14ac:dyDescent="0.2">
      <c r="A149" s="95">
        <f t="shared" si="18"/>
        <v>147</v>
      </c>
      <c r="B149" s="21">
        <v>147</v>
      </c>
      <c r="C149" s="108"/>
      <c r="D149" s="109"/>
      <c r="E149" s="110"/>
      <c r="F149" s="18"/>
      <c r="G149" s="14"/>
      <c r="H149" s="2"/>
      <c r="I149" s="20"/>
      <c r="J149" s="15"/>
      <c r="K149" s="5"/>
      <c r="L149" s="5"/>
      <c r="M149" s="5"/>
      <c r="N149" s="5"/>
      <c r="O149" s="5"/>
      <c r="P149" s="32"/>
      <c r="Q149" s="33">
        <f t="shared" si="21"/>
        <v>0</v>
      </c>
      <c r="R149" s="1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3">
        <f t="shared" si="19"/>
        <v>0</v>
      </c>
      <c r="AE149" s="33">
        <f t="shared" si="20"/>
        <v>0</v>
      </c>
    </row>
    <row r="150" spans="1:31" x14ac:dyDescent="0.2">
      <c r="A150" s="95">
        <f t="shared" si="18"/>
        <v>148</v>
      </c>
      <c r="B150" s="21">
        <v>148</v>
      </c>
      <c r="C150" s="112" t="s">
        <v>222</v>
      </c>
      <c r="D150" s="109"/>
      <c r="E150" s="110"/>
      <c r="F150" s="18">
        <v>10</v>
      </c>
      <c r="G150" s="79">
        <v>12</v>
      </c>
      <c r="H150" s="79">
        <f t="shared" ref="H150:H165" si="22">SUM(G150-F150)+1</f>
        <v>3</v>
      </c>
      <c r="I150" s="40">
        <f t="shared" ref="I150:I165" si="23">SUM(H150*$I$1)+300</f>
        <v>4770.6900000000005</v>
      </c>
      <c r="J150" s="16"/>
      <c r="K150" s="35"/>
      <c r="L150" s="35"/>
      <c r="M150" s="35"/>
      <c r="N150" s="23"/>
      <c r="O150" s="23"/>
      <c r="P150" s="118">
        <v>4770.6899999999996</v>
      </c>
      <c r="Q150" s="120">
        <f t="shared" si="21"/>
        <v>9.0949470177292824E-13</v>
      </c>
      <c r="R150" s="1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3">
        <f t="shared" si="19"/>
        <v>0</v>
      </c>
      <c r="AE150" s="107">
        <f t="shared" si="20"/>
        <v>9.0949470177292824E-13</v>
      </c>
    </row>
    <row r="151" spans="1:31" x14ac:dyDescent="0.2">
      <c r="A151" s="95">
        <f t="shared" si="18"/>
        <v>149</v>
      </c>
      <c r="B151" s="21">
        <v>149</v>
      </c>
      <c r="C151" s="88" t="s">
        <v>33</v>
      </c>
      <c r="D151" s="77" t="s">
        <v>64</v>
      </c>
      <c r="E151" s="78">
        <v>41444</v>
      </c>
      <c r="F151" s="39">
        <v>6</v>
      </c>
      <c r="G151" s="79">
        <v>12</v>
      </c>
      <c r="H151" s="79">
        <f t="shared" si="22"/>
        <v>7</v>
      </c>
      <c r="I151" s="40">
        <f t="shared" si="23"/>
        <v>10731.61</v>
      </c>
      <c r="J151" s="24"/>
      <c r="K151" s="23"/>
      <c r="L151" s="23"/>
      <c r="M151" s="5"/>
      <c r="N151" s="5"/>
      <c r="O151" s="5">
        <v>5215.8</v>
      </c>
      <c r="P151" s="117"/>
      <c r="Q151" s="120">
        <f t="shared" si="21"/>
        <v>5515.81</v>
      </c>
      <c r="R151" s="1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3">
        <f t="shared" si="19"/>
        <v>0</v>
      </c>
      <c r="AE151" s="107">
        <f t="shared" si="20"/>
        <v>5515.81</v>
      </c>
    </row>
    <row r="152" spans="1:31" x14ac:dyDescent="0.2">
      <c r="A152" s="95">
        <f t="shared" si="18"/>
        <v>150</v>
      </c>
      <c r="B152" s="21">
        <v>150</v>
      </c>
      <c r="C152" s="114" t="s">
        <v>33</v>
      </c>
      <c r="D152" s="50"/>
      <c r="E152" s="51"/>
      <c r="F152" s="28">
        <v>6</v>
      </c>
      <c r="G152" s="37">
        <v>12</v>
      </c>
      <c r="H152" s="37">
        <f t="shared" si="22"/>
        <v>7</v>
      </c>
      <c r="I152" s="40">
        <f t="shared" si="23"/>
        <v>10731.61</v>
      </c>
      <c r="J152" s="24"/>
      <c r="K152" s="23"/>
      <c r="L152" s="23"/>
      <c r="M152" s="5"/>
      <c r="N152" s="5"/>
      <c r="O152" s="5">
        <v>5215.8100000000004</v>
      </c>
      <c r="P152" s="117"/>
      <c r="Q152" s="120">
        <f t="shared" si="21"/>
        <v>5515.8</v>
      </c>
      <c r="R152" s="1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3">
        <f t="shared" si="19"/>
        <v>0</v>
      </c>
      <c r="AE152" s="107">
        <f t="shared" si="20"/>
        <v>5515.8</v>
      </c>
    </row>
    <row r="153" spans="1:31" x14ac:dyDescent="0.2">
      <c r="A153" s="94">
        <f t="shared" si="18"/>
        <v>151</v>
      </c>
      <c r="B153" s="21">
        <v>151</v>
      </c>
      <c r="C153" s="98" t="s">
        <v>223</v>
      </c>
      <c r="D153" s="50"/>
      <c r="E153" s="51"/>
      <c r="F153" s="26">
        <v>9</v>
      </c>
      <c r="G153" s="27">
        <v>12</v>
      </c>
      <c r="H153" s="37">
        <f t="shared" si="22"/>
        <v>4</v>
      </c>
      <c r="I153" s="40">
        <f t="shared" si="23"/>
        <v>6260.92</v>
      </c>
      <c r="J153" s="16"/>
      <c r="K153" s="35"/>
      <c r="L153" s="35"/>
      <c r="M153" s="5"/>
      <c r="N153" s="5"/>
      <c r="O153" s="5"/>
      <c r="P153" s="117"/>
      <c r="Q153" s="120">
        <f t="shared" si="21"/>
        <v>6260.92</v>
      </c>
      <c r="R153" s="1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3">
        <f t="shared" si="19"/>
        <v>0</v>
      </c>
      <c r="AE153" s="107">
        <f t="shared" si="20"/>
        <v>6260.92</v>
      </c>
    </row>
    <row r="154" spans="1:31" x14ac:dyDescent="0.2">
      <c r="A154" s="95">
        <f t="shared" si="18"/>
        <v>152</v>
      </c>
      <c r="B154" s="21">
        <v>152</v>
      </c>
      <c r="C154" s="112" t="s">
        <v>134</v>
      </c>
      <c r="D154" s="109"/>
      <c r="E154" s="110"/>
      <c r="F154" s="28">
        <v>6</v>
      </c>
      <c r="G154" s="37">
        <v>12</v>
      </c>
      <c r="H154" s="37">
        <f t="shared" si="22"/>
        <v>7</v>
      </c>
      <c r="I154" s="40">
        <f t="shared" si="23"/>
        <v>10731.61</v>
      </c>
      <c r="J154" s="15"/>
      <c r="K154" s="5"/>
      <c r="L154" s="5"/>
      <c r="M154" s="5"/>
      <c r="N154" s="5"/>
      <c r="O154" s="5"/>
      <c r="P154" s="117"/>
      <c r="Q154" s="120">
        <f t="shared" si="21"/>
        <v>10731.61</v>
      </c>
      <c r="R154" s="1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3">
        <f t="shared" si="19"/>
        <v>0</v>
      </c>
      <c r="AE154" s="107">
        <f t="shared" si="20"/>
        <v>10731.61</v>
      </c>
    </row>
    <row r="155" spans="1:31" x14ac:dyDescent="0.2">
      <c r="A155" s="95">
        <f t="shared" si="18"/>
        <v>153</v>
      </c>
      <c r="B155" s="21">
        <v>153</v>
      </c>
      <c r="C155" s="82" t="s">
        <v>21</v>
      </c>
      <c r="D155" s="8" t="s">
        <v>74</v>
      </c>
      <c r="E155" s="29">
        <v>41449</v>
      </c>
      <c r="F155" s="28">
        <v>6</v>
      </c>
      <c r="G155" s="37">
        <v>12</v>
      </c>
      <c r="H155" s="37">
        <f t="shared" si="22"/>
        <v>7</v>
      </c>
      <c r="I155" s="40">
        <f t="shared" si="23"/>
        <v>10731.61</v>
      </c>
      <c r="J155" s="24"/>
      <c r="K155" s="23">
        <v>2980.46</v>
      </c>
      <c r="L155" s="24"/>
      <c r="M155" s="24">
        <v>2980.46</v>
      </c>
      <c r="N155" s="23"/>
      <c r="O155" s="23">
        <v>2980.46</v>
      </c>
      <c r="P155" s="118">
        <f>1790.23</f>
        <v>1790.23</v>
      </c>
      <c r="Q155" s="120">
        <f t="shared" si="21"/>
        <v>0</v>
      </c>
      <c r="R155" s="1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3">
        <f t="shared" si="19"/>
        <v>0</v>
      </c>
      <c r="AE155" s="107">
        <f t="shared" si="20"/>
        <v>0</v>
      </c>
    </row>
    <row r="156" spans="1:31" x14ac:dyDescent="0.2">
      <c r="A156" s="95">
        <f t="shared" si="18"/>
        <v>154</v>
      </c>
      <c r="B156" s="21">
        <v>154</v>
      </c>
      <c r="C156" s="111" t="s">
        <v>135</v>
      </c>
      <c r="D156" s="50"/>
      <c r="E156" s="51"/>
      <c r="F156" s="28">
        <v>7</v>
      </c>
      <c r="G156" s="37">
        <v>12</v>
      </c>
      <c r="H156" s="37">
        <f t="shared" si="22"/>
        <v>6</v>
      </c>
      <c r="I156" s="40">
        <f t="shared" si="23"/>
        <v>9241.380000000001</v>
      </c>
      <c r="J156" s="16"/>
      <c r="K156" s="23"/>
      <c r="L156" s="23"/>
      <c r="M156" s="23"/>
      <c r="N156" s="23"/>
      <c r="O156" s="23"/>
      <c r="P156" s="118">
        <v>10000</v>
      </c>
      <c r="Q156" s="120">
        <f t="shared" si="21"/>
        <v>-758.61999999999898</v>
      </c>
      <c r="R156" s="1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3">
        <f t="shared" si="19"/>
        <v>0</v>
      </c>
      <c r="AE156" s="107">
        <f t="shared" si="20"/>
        <v>-758.61999999999898</v>
      </c>
    </row>
    <row r="157" spans="1:31" x14ac:dyDescent="0.2">
      <c r="A157" s="95">
        <f t="shared" si="18"/>
        <v>155</v>
      </c>
      <c r="B157" s="21">
        <v>155</v>
      </c>
      <c r="C157" s="83" t="s">
        <v>89</v>
      </c>
      <c r="D157" s="48" t="s">
        <v>93</v>
      </c>
      <c r="E157" s="29">
        <v>41449</v>
      </c>
      <c r="F157" s="28">
        <v>7</v>
      </c>
      <c r="G157" s="37">
        <v>12</v>
      </c>
      <c r="H157" s="37">
        <f t="shared" si="22"/>
        <v>6</v>
      </c>
      <c r="I157" s="40">
        <f t="shared" si="23"/>
        <v>9241.380000000001</v>
      </c>
      <c r="J157" s="16"/>
      <c r="K157" s="23">
        <v>1490.23</v>
      </c>
      <c r="L157" s="23">
        <v>1490.23</v>
      </c>
      <c r="M157" s="23">
        <v>1490.23</v>
      </c>
      <c r="N157" s="23">
        <v>1490.23</v>
      </c>
      <c r="O157" s="23">
        <f>1490.23+1790.23</f>
        <v>3280.46</v>
      </c>
      <c r="P157" s="118"/>
      <c r="Q157" s="120">
        <f t="shared" si="21"/>
        <v>0</v>
      </c>
      <c r="R157" s="1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3">
        <f t="shared" si="19"/>
        <v>0</v>
      </c>
      <c r="AE157" s="107">
        <f t="shared" si="20"/>
        <v>0</v>
      </c>
    </row>
    <row r="158" spans="1:31" x14ac:dyDescent="0.2">
      <c r="A158" s="95">
        <f t="shared" si="18"/>
        <v>156</v>
      </c>
      <c r="B158" s="21">
        <v>156</v>
      </c>
      <c r="C158" s="111" t="s">
        <v>136</v>
      </c>
      <c r="D158" s="50"/>
      <c r="E158" s="51"/>
      <c r="F158" s="28">
        <v>6</v>
      </c>
      <c r="G158" s="37">
        <v>12</v>
      </c>
      <c r="H158" s="37">
        <f t="shared" si="22"/>
        <v>7</v>
      </c>
      <c r="I158" s="40">
        <f t="shared" si="23"/>
        <v>10731.61</v>
      </c>
      <c r="J158" s="15"/>
      <c r="K158" s="5"/>
      <c r="L158" s="5"/>
      <c r="M158" s="5"/>
      <c r="N158" s="5"/>
      <c r="O158" s="5"/>
      <c r="P158" s="117"/>
      <c r="Q158" s="120">
        <f t="shared" si="21"/>
        <v>10731.61</v>
      </c>
      <c r="R158" s="1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3">
        <f t="shared" si="19"/>
        <v>0</v>
      </c>
      <c r="AE158" s="107">
        <f t="shared" si="20"/>
        <v>10731.61</v>
      </c>
    </row>
    <row r="159" spans="1:31" x14ac:dyDescent="0.2">
      <c r="A159" s="95">
        <f t="shared" si="18"/>
        <v>157</v>
      </c>
      <c r="B159" s="21">
        <v>157</v>
      </c>
      <c r="C159" s="90" t="s">
        <v>49</v>
      </c>
      <c r="D159" s="8" t="s">
        <v>18</v>
      </c>
      <c r="E159" s="29">
        <v>41424</v>
      </c>
      <c r="F159" s="28">
        <v>6</v>
      </c>
      <c r="G159" s="37">
        <v>12</v>
      </c>
      <c r="H159" s="37">
        <f t="shared" si="22"/>
        <v>7</v>
      </c>
      <c r="I159" s="40">
        <f t="shared" si="23"/>
        <v>10731.61</v>
      </c>
      <c r="J159" s="24"/>
      <c r="K159" s="23"/>
      <c r="L159" s="23"/>
      <c r="M159" s="23"/>
      <c r="N159" s="5"/>
      <c r="O159" s="5"/>
      <c r="P159" s="117">
        <v>6000</v>
      </c>
      <c r="Q159" s="120">
        <f t="shared" si="21"/>
        <v>4731.6100000000006</v>
      </c>
      <c r="R159" s="1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3">
        <f t="shared" si="19"/>
        <v>0</v>
      </c>
      <c r="AE159" s="107">
        <f t="shared" si="20"/>
        <v>4731.6100000000006</v>
      </c>
    </row>
    <row r="160" spans="1:31" x14ac:dyDescent="0.2">
      <c r="A160" s="95">
        <f t="shared" si="18"/>
        <v>158</v>
      </c>
      <c r="B160" s="21">
        <v>158</v>
      </c>
      <c r="C160" s="82" t="s">
        <v>20</v>
      </c>
      <c r="D160" s="46" t="s">
        <v>181</v>
      </c>
      <c r="E160" s="29">
        <v>41428</v>
      </c>
      <c r="F160" s="28">
        <v>6</v>
      </c>
      <c r="G160" s="37">
        <v>12</v>
      </c>
      <c r="H160" s="37">
        <f t="shared" si="22"/>
        <v>7</v>
      </c>
      <c r="I160" s="40">
        <f t="shared" si="23"/>
        <v>10731.61</v>
      </c>
      <c r="J160" s="24"/>
      <c r="K160" s="23"/>
      <c r="L160" s="23"/>
      <c r="M160" s="23">
        <v>1490.23</v>
      </c>
      <c r="N160" s="23"/>
      <c r="O160" s="23">
        <v>8942</v>
      </c>
      <c r="P160" s="118">
        <f>4180+1490.07</f>
        <v>5670.07</v>
      </c>
      <c r="Q160" s="120">
        <f t="shared" si="21"/>
        <v>-5370.6899999999987</v>
      </c>
      <c r="R160" s="24"/>
      <c r="S160" s="23"/>
      <c r="T160" s="23"/>
      <c r="U160" s="5"/>
      <c r="V160" s="5"/>
      <c r="W160" s="5"/>
      <c r="X160" s="5"/>
      <c r="Y160" s="5"/>
      <c r="Z160" s="5"/>
      <c r="AA160" s="5"/>
      <c r="AB160" s="5"/>
      <c r="AC160" s="5"/>
      <c r="AD160" s="53">
        <f t="shared" si="19"/>
        <v>0</v>
      </c>
      <c r="AE160" s="107">
        <f t="shared" si="20"/>
        <v>-5370.6899999999987</v>
      </c>
    </row>
    <row r="161" spans="1:31" x14ac:dyDescent="0.2">
      <c r="A161" s="95">
        <f t="shared" si="18"/>
        <v>159</v>
      </c>
      <c r="B161" s="21">
        <v>159</v>
      </c>
      <c r="C161" s="81" t="s">
        <v>137</v>
      </c>
      <c r="D161" s="46" t="s">
        <v>191</v>
      </c>
      <c r="E161" s="29">
        <v>41505</v>
      </c>
      <c r="F161" s="28">
        <v>6</v>
      </c>
      <c r="G161" s="37">
        <v>12</v>
      </c>
      <c r="H161" s="37">
        <f t="shared" si="22"/>
        <v>7</v>
      </c>
      <c r="I161" s="40">
        <f t="shared" si="23"/>
        <v>10731.61</v>
      </c>
      <c r="J161" s="24"/>
      <c r="K161" s="23"/>
      <c r="L161" s="23"/>
      <c r="M161" s="23"/>
      <c r="N161" s="5"/>
      <c r="O161" s="5"/>
      <c r="P161" s="117">
        <f>1490.23*4</f>
        <v>5960.92</v>
      </c>
      <c r="Q161" s="120">
        <f t="shared" si="21"/>
        <v>4770.6900000000005</v>
      </c>
      <c r="R161" s="1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3">
        <f t="shared" si="19"/>
        <v>0</v>
      </c>
      <c r="AE161" s="107">
        <f t="shared" si="20"/>
        <v>4770.6900000000005</v>
      </c>
    </row>
    <row r="162" spans="1:31" x14ac:dyDescent="0.2">
      <c r="A162" s="95">
        <f t="shared" si="18"/>
        <v>160</v>
      </c>
      <c r="B162" s="21">
        <v>160</v>
      </c>
      <c r="C162" s="82" t="s">
        <v>39</v>
      </c>
      <c r="D162" s="8" t="s">
        <v>65</v>
      </c>
      <c r="E162" s="29">
        <v>41444</v>
      </c>
      <c r="F162" s="28">
        <v>6</v>
      </c>
      <c r="G162" s="37">
        <v>12</v>
      </c>
      <c r="H162" s="37">
        <f t="shared" si="22"/>
        <v>7</v>
      </c>
      <c r="I162" s="40">
        <f t="shared" si="23"/>
        <v>10731.61</v>
      </c>
      <c r="J162" s="15"/>
      <c r="K162" s="5"/>
      <c r="L162" s="5"/>
      <c r="M162" s="5"/>
      <c r="N162" s="5"/>
      <c r="O162" s="5"/>
      <c r="P162" s="117"/>
      <c r="Q162" s="120">
        <f t="shared" si="21"/>
        <v>10731.61</v>
      </c>
      <c r="R162" s="1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3">
        <f t="shared" si="19"/>
        <v>0</v>
      </c>
      <c r="AE162" s="107">
        <f t="shared" si="20"/>
        <v>10731.61</v>
      </c>
    </row>
    <row r="163" spans="1:31" x14ac:dyDescent="0.2">
      <c r="A163" s="94">
        <f t="shared" si="18"/>
        <v>161</v>
      </c>
      <c r="B163" s="21">
        <v>161</v>
      </c>
      <c r="C163" s="82" t="s">
        <v>39</v>
      </c>
      <c r="D163" s="8" t="s">
        <v>66</v>
      </c>
      <c r="E163" s="29">
        <v>41444</v>
      </c>
      <c r="F163" s="28">
        <v>6</v>
      </c>
      <c r="G163" s="37">
        <v>12</v>
      </c>
      <c r="H163" s="37">
        <f t="shared" si="22"/>
        <v>7</v>
      </c>
      <c r="I163" s="40">
        <f t="shared" si="23"/>
        <v>10731.61</v>
      </c>
      <c r="J163" s="15"/>
      <c r="K163" s="5"/>
      <c r="L163" s="5"/>
      <c r="M163" s="5"/>
      <c r="N163" s="5"/>
      <c r="O163" s="5"/>
      <c r="P163" s="117"/>
      <c r="Q163" s="120">
        <f t="shared" si="21"/>
        <v>10731.61</v>
      </c>
      <c r="R163" s="1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3">
        <f t="shared" ref="AD163:AD194" si="24">SUM(R163:AC163)</f>
        <v>0</v>
      </c>
      <c r="AE163" s="107">
        <f t="shared" si="20"/>
        <v>10731.61</v>
      </c>
    </row>
    <row r="164" spans="1:31" x14ac:dyDescent="0.2">
      <c r="A164" s="95">
        <f t="shared" si="18"/>
        <v>162</v>
      </c>
      <c r="B164" s="21">
        <v>162</v>
      </c>
      <c r="C164" s="111" t="s">
        <v>138</v>
      </c>
      <c r="D164" s="50"/>
      <c r="E164" s="51"/>
      <c r="F164" s="28">
        <v>6</v>
      </c>
      <c r="G164" s="37">
        <v>12</v>
      </c>
      <c r="H164" s="37">
        <f t="shared" si="22"/>
        <v>7</v>
      </c>
      <c r="I164" s="40">
        <f t="shared" si="23"/>
        <v>10731.61</v>
      </c>
      <c r="J164" s="15"/>
      <c r="K164" s="5"/>
      <c r="L164" s="5"/>
      <c r="M164" s="5"/>
      <c r="N164" s="5"/>
      <c r="O164" s="5"/>
      <c r="P164" s="117"/>
      <c r="Q164" s="120">
        <f t="shared" si="21"/>
        <v>10731.61</v>
      </c>
      <c r="R164" s="1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3">
        <f t="shared" si="24"/>
        <v>0</v>
      </c>
      <c r="AE164" s="107">
        <f t="shared" si="20"/>
        <v>10731.61</v>
      </c>
    </row>
    <row r="165" spans="1:31" x14ac:dyDescent="0.2">
      <c r="A165" s="95">
        <f t="shared" si="18"/>
        <v>163</v>
      </c>
      <c r="B165" s="21">
        <v>163</v>
      </c>
      <c r="C165" s="86" t="s">
        <v>98</v>
      </c>
      <c r="D165" s="46" t="s">
        <v>196</v>
      </c>
      <c r="E165" s="29">
        <v>41484</v>
      </c>
      <c r="F165" s="28">
        <v>6</v>
      </c>
      <c r="G165" s="37">
        <v>12</v>
      </c>
      <c r="H165" s="37">
        <f t="shared" si="22"/>
        <v>7</v>
      </c>
      <c r="I165" s="40">
        <f t="shared" si="23"/>
        <v>10731.61</v>
      </c>
      <c r="J165" s="24"/>
      <c r="K165" s="23"/>
      <c r="L165" s="23">
        <v>1490.23</v>
      </c>
      <c r="M165" s="23"/>
      <c r="N165" s="23">
        <v>6000</v>
      </c>
      <c r="O165" s="23"/>
      <c r="P165" s="118">
        <v>5000</v>
      </c>
      <c r="Q165" s="120">
        <f t="shared" si="21"/>
        <v>-1758.619999999999</v>
      </c>
      <c r="R165" s="24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3">
        <f t="shared" si="24"/>
        <v>0</v>
      </c>
      <c r="AE165" s="107">
        <f t="shared" si="20"/>
        <v>-1758.619999999999</v>
      </c>
    </row>
    <row r="166" spans="1:31" hidden="1" x14ac:dyDescent="0.2">
      <c r="A166" s="95">
        <f t="shared" si="18"/>
        <v>164</v>
      </c>
      <c r="B166" s="21">
        <v>164</v>
      </c>
      <c r="C166" s="108"/>
      <c r="D166" s="109"/>
      <c r="E166" s="110"/>
      <c r="F166" s="18"/>
      <c r="G166" s="14"/>
      <c r="H166" s="2"/>
      <c r="I166" s="20"/>
      <c r="J166" s="15"/>
      <c r="K166" s="5"/>
      <c r="L166" s="5"/>
      <c r="M166" s="5"/>
      <c r="N166" s="5"/>
      <c r="O166" s="5"/>
      <c r="P166" s="32"/>
      <c r="Q166" s="33">
        <f t="shared" si="21"/>
        <v>0</v>
      </c>
      <c r="R166" s="1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3">
        <f t="shared" si="24"/>
        <v>0</v>
      </c>
      <c r="AE166" s="33">
        <f t="shared" si="20"/>
        <v>0</v>
      </c>
    </row>
    <row r="167" spans="1:31" x14ac:dyDescent="0.2">
      <c r="A167" s="95">
        <f t="shared" si="18"/>
        <v>165</v>
      </c>
      <c r="B167" s="21">
        <v>165</v>
      </c>
      <c r="C167" s="111" t="s">
        <v>139</v>
      </c>
      <c r="D167" s="50"/>
      <c r="E167" s="51"/>
      <c r="F167" s="28">
        <v>8</v>
      </c>
      <c r="G167" s="37">
        <v>12</v>
      </c>
      <c r="H167" s="37">
        <f>SUM(G167-F167)+1</f>
        <v>5</v>
      </c>
      <c r="I167" s="40">
        <f>SUM(H167*$I$1)+300</f>
        <v>7751.15</v>
      </c>
      <c r="J167" s="16"/>
      <c r="K167" s="35"/>
      <c r="L167" s="159"/>
      <c r="M167" s="159"/>
      <c r="N167" s="159"/>
      <c r="O167" s="159"/>
      <c r="P167" s="160"/>
      <c r="Q167" s="120">
        <f t="shared" si="21"/>
        <v>7751.15</v>
      </c>
      <c r="R167" s="1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3">
        <f t="shared" si="24"/>
        <v>0</v>
      </c>
      <c r="AE167" s="107">
        <f t="shared" si="20"/>
        <v>7751.15</v>
      </c>
    </row>
    <row r="168" spans="1:31" x14ac:dyDescent="0.2">
      <c r="A168" s="95">
        <f t="shared" si="18"/>
        <v>166</v>
      </c>
      <c r="B168" s="21">
        <v>166</v>
      </c>
      <c r="C168" s="82" t="s">
        <v>40</v>
      </c>
      <c r="D168" s="8" t="s">
        <v>67</v>
      </c>
      <c r="E168" s="29">
        <v>41444</v>
      </c>
      <c r="F168" s="28">
        <v>6</v>
      </c>
      <c r="G168" s="37">
        <v>12</v>
      </c>
      <c r="H168" s="37">
        <f>SUM(G168-F168)+1</f>
        <v>7</v>
      </c>
      <c r="I168" s="40">
        <f>SUM(H168*$I$1)+300</f>
        <v>10731.61</v>
      </c>
      <c r="J168" s="24"/>
      <c r="K168" s="23"/>
      <c r="L168" s="23">
        <v>3000</v>
      </c>
      <c r="M168" s="23"/>
      <c r="N168" s="23">
        <v>3000</v>
      </c>
      <c r="O168" s="23"/>
      <c r="P168" s="118">
        <f>2941.38+1790.23</f>
        <v>4731.6100000000006</v>
      </c>
      <c r="Q168" s="120">
        <f t="shared" si="21"/>
        <v>0</v>
      </c>
      <c r="R168" s="1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3">
        <f t="shared" si="24"/>
        <v>0</v>
      </c>
      <c r="AE168" s="107">
        <f t="shared" si="20"/>
        <v>0</v>
      </c>
    </row>
    <row r="169" spans="1:31" x14ac:dyDescent="0.2">
      <c r="A169" s="95">
        <f t="shared" si="18"/>
        <v>167</v>
      </c>
      <c r="B169" s="21">
        <v>167</v>
      </c>
      <c r="C169" s="81" t="s">
        <v>140</v>
      </c>
      <c r="D169" s="46" t="s">
        <v>170</v>
      </c>
      <c r="E169" s="29">
        <v>41463</v>
      </c>
      <c r="F169" s="28">
        <v>6</v>
      </c>
      <c r="G169" s="37">
        <v>12</v>
      </c>
      <c r="H169" s="37">
        <f>SUM(G169-F169)+1</f>
        <v>7</v>
      </c>
      <c r="I169" s="40">
        <f>SUM(H169*$I$1)+300</f>
        <v>10731.61</v>
      </c>
      <c r="J169" s="24"/>
      <c r="K169" s="23"/>
      <c r="L169" s="23"/>
      <c r="M169" s="23">
        <v>4470</v>
      </c>
      <c r="N169" s="23"/>
      <c r="O169" s="23"/>
      <c r="P169" s="118">
        <v>6260.92</v>
      </c>
      <c r="Q169" s="120">
        <f t="shared" si="21"/>
        <v>0.69000000000050932</v>
      </c>
      <c r="R169" s="1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3">
        <f t="shared" si="24"/>
        <v>0</v>
      </c>
      <c r="AE169" s="107">
        <f t="shared" si="20"/>
        <v>0.69000000000050932</v>
      </c>
    </row>
    <row r="170" spans="1:31" x14ac:dyDescent="0.2">
      <c r="A170" s="95">
        <f t="shared" si="18"/>
        <v>168</v>
      </c>
      <c r="B170" s="21">
        <v>168</v>
      </c>
      <c r="C170" s="81" t="s">
        <v>141</v>
      </c>
      <c r="D170" s="46" t="s">
        <v>249</v>
      </c>
      <c r="E170" s="29">
        <v>41426</v>
      </c>
      <c r="F170" s="28">
        <v>6</v>
      </c>
      <c r="G170" s="37">
        <v>12</v>
      </c>
      <c r="H170" s="37">
        <f>SUM(G170-F170)+1</f>
        <v>7</v>
      </c>
      <c r="I170" s="40">
        <f>SUM(H170*$I$1)+300</f>
        <v>10731.61</v>
      </c>
      <c r="J170" s="24"/>
      <c r="K170" s="23"/>
      <c r="L170" s="23"/>
      <c r="M170" s="23"/>
      <c r="N170" s="23"/>
      <c r="O170" s="23"/>
      <c r="P170" s="118">
        <f>8941.38+1490.23</f>
        <v>10431.609999999999</v>
      </c>
      <c r="Q170" s="120">
        <f t="shared" si="21"/>
        <v>300.00000000000182</v>
      </c>
      <c r="R170" s="1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3">
        <f t="shared" si="24"/>
        <v>0</v>
      </c>
      <c r="AE170" s="107">
        <f t="shared" si="20"/>
        <v>300.00000000000182</v>
      </c>
    </row>
    <row r="171" spans="1:31" x14ac:dyDescent="0.2">
      <c r="A171" s="95">
        <f t="shared" si="18"/>
        <v>169</v>
      </c>
      <c r="B171" s="21">
        <v>169</v>
      </c>
      <c r="C171" s="81" t="s">
        <v>142</v>
      </c>
      <c r="D171" s="46" t="s">
        <v>252</v>
      </c>
      <c r="E171" s="29">
        <v>41426</v>
      </c>
      <c r="F171" s="28">
        <v>6</v>
      </c>
      <c r="G171" s="37">
        <v>12</v>
      </c>
      <c r="H171" s="37">
        <f>SUM(G171-F171)+1</f>
        <v>7</v>
      </c>
      <c r="I171" s="40">
        <f>SUM(H171*$I$1)+300</f>
        <v>10731.61</v>
      </c>
      <c r="J171" s="24"/>
      <c r="K171" s="23"/>
      <c r="L171" s="23"/>
      <c r="M171" s="23"/>
      <c r="N171" s="23"/>
      <c r="O171" s="23">
        <f>1490.23+8941.38</f>
        <v>10431.609999999999</v>
      </c>
      <c r="P171" s="118"/>
      <c r="Q171" s="120">
        <f t="shared" si="21"/>
        <v>300.00000000000182</v>
      </c>
      <c r="R171" s="1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3">
        <f t="shared" si="24"/>
        <v>0</v>
      </c>
      <c r="AE171" s="107">
        <f t="shared" si="20"/>
        <v>300.00000000000182</v>
      </c>
    </row>
    <row r="172" spans="1:31" hidden="1" x14ac:dyDescent="0.2">
      <c r="A172" s="95">
        <f t="shared" si="18"/>
        <v>170</v>
      </c>
      <c r="B172" s="21">
        <v>170</v>
      </c>
      <c r="C172" s="108"/>
      <c r="D172" s="109"/>
      <c r="E172" s="110"/>
      <c r="F172" s="18"/>
      <c r="G172" s="14"/>
      <c r="H172" s="2"/>
      <c r="I172" s="20"/>
      <c r="J172" s="15"/>
      <c r="K172" s="5"/>
      <c r="L172" s="5"/>
      <c r="M172" s="5"/>
      <c r="N172" s="5"/>
      <c r="O172" s="5"/>
      <c r="P172" s="32"/>
      <c r="Q172" s="33">
        <f t="shared" si="21"/>
        <v>0</v>
      </c>
      <c r="R172" s="1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3">
        <f t="shared" si="24"/>
        <v>0</v>
      </c>
      <c r="AE172" s="33">
        <f t="shared" si="20"/>
        <v>0</v>
      </c>
    </row>
    <row r="173" spans="1:31" hidden="1" x14ac:dyDescent="0.2">
      <c r="A173" s="94">
        <f t="shared" si="18"/>
        <v>171</v>
      </c>
      <c r="B173" s="21">
        <v>171</v>
      </c>
      <c r="C173" s="108"/>
      <c r="D173" s="109"/>
      <c r="E173" s="110"/>
      <c r="F173" s="18"/>
      <c r="G173" s="14"/>
      <c r="H173" s="2"/>
      <c r="I173" s="20"/>
      <c r="J173" s="15"/>
      <c r="K173" s="5"/>
      <c r="L173" s="5"/>
      <c r="M173" s="5"/>
      <c r="N173" s="5"/>
      <c r="O173" s="5"/>
      <c r="P173" s="32"/>
      <c r="Q173" s="33">
        <f t="shared" si="21"/>
        <v>0</v>
      </c>
      <c r="R173" s="1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3">
        <f t="shared" si="24"/>
        <v>0</v>
      </c>
      <c r="AE173" s="33">
        <f t="shared" si="20"/>
        <v>0</v>
      </c>
    </row>
    <row r="174" spans="1:31" hidden="1" x14ac:dyDescent="0.2">
      <c r="A174" s="95">
        <f t="shared" si="18"/>
        <v>172</v>
      </c>
      <c r="B174" s="21">
        <v>172</v>
      </c>
      <c r="C174" s="108"/>
      <c r="D174" s="109"/>
      <c r="E174" s="110"/>
      <c r="F174" s="18"/>
      <c r="G174" s="14"/>
      <c r="H174" s="2"/>
      <c r="I174" s="20"/>
      <c r="J174" s="15"/>
      <c r="K174" s="5"/>
      <c r="L174" s="5"/>
      <c r="M174" s="5"/>
      <c r="N174" s="5"/>
      <c r="O174" s="5"/>
      <c r="P174" s="32"/>
      <c r="Q174" s="33">
        <f t="shared" si="21"/>
        <v>0</v>
      </c>
      <c r="R174" s="1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3">
        <f t="shared" si="24"/>
        <v>0</v>
      </c>
      <c r="AE174" s="33">
        <f t="shared" si="20"/>
        <v>0</v>
      </c>
    </row>
    <row r="175" spans="1:31" hidden="1" x14ac:dyDescent="0.2">
      <c r="A175" s="95">
        <f t="shared" si="18"/>
        <v>173</v>
      </c>
      <c r="B175" s="21">
        <v>173</v>
      </c>
      <c r="C175" s="108"/>
      <c r="D175" s="109"/>
      <c r="E175" s="110"/>
      <c r="F175" s="18"/>
      <c r="G175" s="14"/>
      <c r="H175" s="2"/>
      <c r="I175" s="20"/>
      <c r="J175" s="15"/>
      <c r="K175" s="5"/>
      <c r="L175" s="5"/>
      <c r="M175" s="5"/>
      <c r="N175" s="5"/>
      <c r="O175" s="5"/>
      <c r="P175" s="32"/>
      <c r="Q175" s="33">
        <f t="shared" si="21"/>
        <v>0</v>
      </c>
      <c r="R175" s="1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3">
        <f t="shared" si="24"/>
        <v>0</v>
      </c>
      <c r="AE175" s="33">
        <f t="shared" si="20"/>
        <v>0</v>
      </c>
    </row>
    <row r="176" spans="1:31" hidden="1" x14ac:dyDescent="0.2">
      <c r="A176" s="95">
        <f t="shared" si="18"/>
        <v>174</v>
      </c>
      <c r="B176" s="21">
        <v>174</v>
      </c>
      <c r="C176" s="108"/>
      <c r="D176" s="109"/>
      <c r="E176" s="110"/>
      <c r="F176" s="18"/>
      <c r="G176" s="14"/>
      <c r="H176" s="2"/>
      <c r="I176" s="20"/>
      <c r="J176" s="15"/>
      <c r="K176" s="5"/>
      <c r="L176" s="5"/>
      <c r="M176" s="5"/>
      <c r="N176" s="5"/>
      <c r="O176" s="5"/>
      <c r="P176" s="32"/>
      <c r="Q176" s="33">
        <f t="shared" si="21"/>
        <v>0</v>
      </c>
      <c r="R176" s="1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3">
        <f t="shared" si="24"/>
        <v>0</v>
      </c>
      <c r="AE176" s="33">
        <f t="shared" si="20"/>
        <v>0</v>
      </c>
    </row>
    <row r="177" spans="1:31" x14ac:dyDescent="0.2">
      <c r="A177" s="95">
        <f t="shared" si="18"/>
        <v>175</v>
      </c>
      <c r="B177" s="21">
        <v>175</v>
      </c>
      <c r="C177" s="81" t="s">
        <v>143</v>
      </c>
      <c r="D177" s="46" t="s">
        <v>180</v>
      </c>
      <c r="E177" s="29">
        <v>41470</v>
      </c>
      <c r="F177" s="28">
        <v>6</v>
      </c>
      <c r="G177" s="37">
        <v>12</v>
      </c>
      <c r="H177" s="37">
        <f>SUM(G177-F177)+1</f>
        <v>7</v>
      </c>
      <c r="I177" s="40">
        <f>SUM(H177*$I$1)+300</f>
        <v>10731.61</v>
      </c>
      <c r="J177" s="24"/>
      <c r="K177" s="23"/>
      <c r="L177" s="23"/>
      <c r="M177" s="23"/>
      <c r="N177" s="23">
        <v>1490.23</v>
      </c>
      <c r="O177" s="23">
        <f>1490.23+4470.69</f>
        <v>5960.92</v>
      </c>
      <c r="P177" s="117">
        <v>1790</v>
      </c>
      <c r="Q177" s="120">
        <f t="shared" si="21"/>
        <v>1490.4600000000009</v>
      </c>
      <c r="R177" s="1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3">
        <f t="shared" si="24"/>
        <v>0</v>
      </c>
      <c r="AE177" s="107">
        <f t="shared" si="20"/>
        <v>1490.4600000000009</v>
      </c>
    </row>
    <row r="178" spans="1:31" x14ac:dyDescent="0.2">
      <c r="A178" s="95">
        <f t="shared" si="18"/>
        <v>176</v>
      </c>
      <c r="B178" s="21">
        <v>176</v>
      </c>
      <c r="C178" s="112" t="s">
        <v>224</v>
      </c>
      <c r="D178" s="109"/>
      <c r="E178" s="110"/>
      <c r="F178" s="18">
        <v>11</v>
      </c>
      <c r="G178" s="37">
        <v>12</v>
      </c>
      <c r="H178" s="37">
        <f>SUM(G178-F178)+1</f>
        <v>2</v>
      </c>
      <c r="I178" s="40">
        <f>SUM(H178*$I$1)+300</f>
        <v>3280.46</v>
      </c>
      <c r="J178" s="16"/>
      <c r="K178" s="35"/>
      <c r="L178" s="35"/>
      <c r="M178" s="35"/>
      <c r="N178" s="35"/>
      <c r="O178" s="5"/>
      <c r="P178" s="117"/>
      <c r="Q178" s="120">
        <f t="shared" si="21"/>
        <v>3280.46</v>
      </c>
      <c r="R178" s="1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3">
        <f t="shared" si="24"/>
        <v>0</v>
      </c>
      <c r="AE178" s="107">
        <f t="shared" si="20"/>
        <v>3280.46</v>
      </c>
    </row>
    <row r="179" spans="1:31" x14ac:dyDescent="0.2">
      <c r="A179" s="95">
        <f t="shared" si="18"/>
        <v>177</v>
      </c>
      <c r="B179" s="21">
        <v>177</v>
      </c>
      <c r="C179" s="112" t="s">
        <v>225</v>
      </c>
      <c r="D179" s="109"/>
      <c r="E179" s="110"/>
      <c r="F179" s="18">
        <v>9</v>
      </c>
      <c r="G179" s="37">
        <v>12</v>
      </c>
      <c r="H179" s="37">
        <f>SUM(G179-F179)+1</f>
        <v>4</v>
      </c>
      <c r="I179" s="40">
        <f>SUM(H179*$I$1)+300</f>
        <v>6260.92</v>
      </c>
      <c r="J179" s="16"/>
      <c r="K179" s="16"/>
      <c r="L179" s="35"/>
      <c r="M179" s="23"/>
      <c r="N179" s="23"/>
      <c r="O179" s="23"/>
      <c r="P179" s="118">
        <f>4470.69+1790.23</f>
        <v>6260.92</v>
      </c>
      <c r="Q179" s="120">
        <f t="shared" ref="Q179:Q207" si="25">SUM(I179-(J179+K179+L179+M179+N179+O179+P179))</f>
        <v>0</v>
      </c>
      <c r="R179" s="1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3">
        <f t="shared" si="24"/>
        <v>0</v>
      </c>
      <c r="AE179" s="107">
        <f t="shared" si="20"/>
        <v>0</v>
      </c>
    </row>
    <row r="180" spans="1:31" hidden="1" x14ac:dyDescent="0.2">
      <c r="A180" s="95">
        <f t="shared" si="18"/>
        <v>178</v>
      </c>
      <c r="B180" s="21">
        <v>178</v>
      </c>
      <c r="C180" s="108"/>
      <c r="D180" s="109"/>
      <c r="E180" s="110"/>
      <c r="F180" s="18"/>
      <c r="G180" s="14"/>
      <c r="H180" s="2"/>
      <c r="I180" s="20"/>
      <c r="J180" s="15"/>
      <c r="K180" s="5"/>
      <c r="L180" s="5"/>
      <c r="M180" s="5"/>
      <c r="N180" s="5"/>
      <c r="O180" s="5"/>
      <c r="P180" s="32"/>
      <c r="Q180" s="33">
        <f t="shared" si="25"/>
        <v>0</v>
      </c>
      <c r="R180" s="1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3">
        <f t="shared" si="24"/>
        <v>0</v>
      </c>
      <c r="AE180" s="33">
        <f t="shared" si="20"/>
        <v>0</v>
      </c>
    </row>
    <row r="181" spans="1:31" x14ac:dyDescent="0.2">
      <c r="A181" s="95">
        <f t="shared" si="18"/>
        <v>179</v>
      </c>
      <c r="B181" s="21">
        <v>179</v>
      </c>
      <c r="C181" s="112" t="s">
        <v>226</v>
      </c>
      <c r="D181" s="109"/>
      <c r="E181" s="110"/>
      <c r="F181" s="18">
        <v>8</v>
      </c>
      <c r="G181" s="37">
        <v>12</v>
      </c>
      <c r="H181" s="37">
        <f t="shared" ref="H181:H188" si="26">SUM(G181-F181)+1</f>
        <v>5</v>
      </c>
      <c r="I181" s="40">
        <f t="shared" ref="I181:I188" si="27">SUM(H181*$I$1)+300</f>
        <v>7751.15</v>
      </c>
      <c r="J181" s="16"/>
      <c r="K181" s="35"/>
      <c r="L181" s="23"/>
      <c r="M181" s="23"/>
      <c r="N181" s="23"/>
      <c r="O181" s="23"/>
      <c r="P181" s="118">
        <v>7751.15</v>
      </c>
      <c r="Q181" s="120">
        <f t="shared" si="25"/>
        <v>0</v>
      </c>
      <c r="R181" s="1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3">
        <f t="shared" si="24"/>
        <v>0</v>
      </c>
      <c r="AE181" s="107">
        <f t="shared" si="20"/>
        <v>0</v>
      </c>
    </row>
    <row r="182" spans="1:31" x14ac:dyDescent="0.2">
      <c r="A182" s="95">
        <f t="shared" si="18"/>
        <v>180</v>
      </c>
      <c r="B182" s="21">
        <v>180</v>
      </c>
      <c r="C182" s="82" t="s">
        <v>39</v>
      </c>
      <c r="D182" s="8" t="s">
        <v>68</v>
      </c>
      <c r="E182" s="29">
        <v>41444</v>
      </c>
      <c r="F182" s="28">
        <v>6</v>
      </c>
      <c r="G182" s="37">
        <v>12</v>
      </c>
      <c r="H182" s="37">
        <f t="shared" si="26"/>
        <v>7</v>
      </c>
      <c r="I182" s="40">
        <f t="shared" si="27"/>
        <v>10731.61</v>
      </c>
      <c r="J182" s="75"/>
      <c r="K182" s="5"/>
      <c r="L182" s="5"/>
      <c r="M182" s="5"/>
      <c r="N182" s="5"/>
      <c r="O182" s="5"/>
      <c r="P182" s="117"/>
      <c r="Q182" s="120">
        <f t="shared" si="25"/>
        <v>10731.61</v>
      </c>
      <c r="R182" s="1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3">
        <f t="shared" si="24"/>
        <v>0</v>
      </c>
      <c r="AE182" s="107">
        <f t="shared" si="20"/>
        <v>10731.61</v>
      </c>
    </row>
    <row r="183" spans="1:31" x14ac:dyDescent="0.2">
      <c r="A183" s="94">
        <f t="shared" si="18"/>
        <v>181</v>
      </c>
      <c r="B183" s="21">
        <v>181</v>
      </c>
      <c r="C183" s="112" t="s">
        <v>227</v>
      </c>
      <c r="D183" s="109"/>
      <c r="E183" s="110"/>
      <c r="F183" s="18">
        <v>8</v>
      </c>
      <c r="G183" s="37">
        <v>12</v>
      </c>
      <c r="H183" s="37">
        <f t="shared" si="26"/>
        <v>5</v>
      </c>
      <c r="I183" s="40">
        <f t="shared" si="27"/>
        <v>7751.15</v>
      </c>
      <c r="J183" s="16"/>
      <c r="K183" s="35"/>
      <c r="L183" s="5"/>
      <c r="M183" s="5"/>
      <c r="N183" s="5"/>
      <c r="O183" s="5"/>
      <c r="P183" s="117"/>
      <c r="Q183" s="120">
        <f t="shared" si="25"/>
        <v>7751.15</v>
      </c>
      <c r="R183" s="1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3">
        <f t="shared" si="24"/>
        <v>0</v>
      </c>
      <c r="AE183" s="107">
        <f t="shared" si="20"/>
        <v>7751.15</v>
      </c>
    </row>
    <row r="184" spans="1:31" x14ac:dyDescent="0.2">
      <c r="A184" s="95">
        <f t="shared" si="18"/>
        <v>182</v>
      </c>
      <c r="B184" s="21" t="s">
        <v>10</v>
      </c>
      <c r="C184" s="81" t="s">
        <v>115</v>
      </c>
      <c r="D184" s="46" t="s">
        <v>197</v>
      </c>
      <c r="E184" s="29">
        <v>41548</v>
      </c>
      <c r="F184" s="28">
        <v>10</v>
      </c>
      <c r="G184" s="37">
        <v>12</v>
      </c>
      <c r="H184" s="37">
        <f t="shared" si="26"/>
        <v>3</v>
      </c>
      <c r="I184" s="40">
        <f t="shared" si="27"/>
        <v>4770.6900000000005</v>
      </c>
      <c r="J184" s="16"/>
      <c r="K184" s="35"/>
      <c r="L184" s="35"/>
      <c r="M184" s="35"/>
      <c r="N184" s="23"/>
      <c r="O184" s="23"/>
      <c r="P184" s="118">
        <f>3000+4000</f>
        <v>7000</v>
      </c>
      <c r="Q184" s="120">
        <f t="shared" si="25"/>
        <v>-2229.3099999999995</v>
      </c>
      <c r="R184" s="1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3">
        <f t="shared" si="24"/>
        <v>0</v>
      </c>
      <c r="AE184" s="107">
        <f t="shared" si="20"/>
        <v>-2229.3099999999995</v>
      </c>
    </row>
    <row r="185" spans="1:31" x14ac:dyDescent="0.2">
      <c r="A185" s="95">
        <f t="shared" si="18"/>
        <v>183</v>
      </c>
      <c r="B185" s="21" t="s">
        <v>11</v>
      </c>
      <c r="C185" s="82" t="s">
        <v>19</v>
      </c>
      <c r="D185" s="46" t="s">
        <v>186</v>
      </c>
      <c r="E185" s="29">
        <v>41426</v>
      </c>
      <c r="F185" s="28">
        <v>6</v>
      </c>
      <c r="G185" s="37">
        <v>12</v>
      </c>
      <c r="H185" s="37">
        <f t="shared" si="26"/>
        <v>7</v>
      </c>
      <c r="I185" s="40">
        <f t="shared" si="27"/>
        <v>10731.61</v>
      </c>
      <c r="J185" s="24">
        <v>17882.759999999998</v>
      </c>
      <c r="K185" s="23"/>
      <c r="L185" s="23"/>
      <c r="M185" s="23"/>
      <c r="N185" s="23"/>
      <c r="O185" s="23"/>
      <c r="P185" s="118"/>
      <c r="Q185" s="120">
        <f t="shared" si="25"/>
        <v>-7151.1499999999978</v>
      </c>
      <c r="R185" s="24"/>
      <c r="S185" s="23"/>
      <c r="T185" s="23"/>
      <c r="U185" s="23"/>
      <c r="V185" s="23"/>
      <c r="W185" s="5"/>
      <c r="X185" s="5"/>
      <c r="Y185" s="5"/>
      <c r="Z185" s="5"/>
      <c r="AA185" s="5"/>
      <c r="AB185" s="5"/>
      <c r="AC185" s="5"/>
      <c r="AD185" s="53">
        <f t="shared" si="24"/>
        <v>0</v>
      </c>
      <c r="AE185" s="107">
        <f t="shared" si="20"/>
        <v>-7151.1499999999978</v>
      </c>
    </row>
    <row r="186" spans="1:31" x14ac:dyDescent="0.2">
      <c r="A186" s="95">
        <f t="shared" si="18"/>
        <v>184</v>
      </c>
      <c r="B186" s="93" t="s">
        <v>120</v>
      </c>
      <c r="C186" s="81" t="s">
        <v>121</v>
      </c>
      <c r="D186" s="46" t="s">
        <v>248</v>
      </c>
      <c r="E186" s="29">
        <v>41426</v>
      </c>
      <c r="F186" s="26">
        <v>6</v>
      </c>
      <c r="G186" s="27">
        <v>12</v>
      </c>
      <c r="H186" s="37">
        <f t="shared" si="26"/>
        <v>7</v>
      </c>
      <c r="I186" s="40">
        <f t="shared" si="27"/>
        <v>10731.61</v>
      </c>
      <c r="J186" s="24"/>
      <c r="K186" s="23"/>
      <c r="L186" s="23"/>
      <c r="M186" s="23"/>
      <c r="N186" s="23"/>
      <c r="O186" s="23">
        <v>10731.61</v>
      </c>
      <c r="P186" s="118"/>
      <c r="Q186" s="120">
        <f t="shared" si="25"/>
        <v>0</v>
      </c>
      <c r="R186" s="1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3">
        <f t="shared" si="24"/>
        <v>0</v>
      </c>
      <c r="AE186" s="107">
        <f t="shared" si="20"/>
        <v>0</v>
      </c>
    </row>
    <row r="187" spans="1:31" x14ac:dyDescent="0.2">
      <c r="A187" s="95">
        <f t="shared" si="18"/>
        <v>185</v>
      </c>
      <c r="B187" s="93" t="s">
        <v>123</v>
      </c>
      <c r="C187" s="111" t="s">
        <v>124</v>
      </c>
      <c r="D187" s="50"/>
      <c r="E187" s="51"/>
      <c r="F187" s="28">
        <v>6</v>
      </c>
      <c r="G187" s="37">
        <v>12</v>
      </c>
      <c r="H187" s="37">
        <f t="shared" si="26"/>
        <v>7</v>
      </c>
      <c r="I187" s="40">
        <f t="shared" si="27"/>
        <v>10731.61</v>
      </c>
      <c r="J187" s="24"/>
      <c r="K187" s="24"/>
      <c r="L187" s="24"/>
      <c r="M187" s="23"/>
      <c r="N187" s="23"/>
      <c r="O187" s="23"/>
      <c r="P187" s="118">
        <f>1490.23+10731.6</f>
        <v>12221.83</v>
      </c>
      <c r="Q187" s="120">
        <f t="shared" si="25"/>
        <v>-1490.2199999999993</v>
      </c>
      <c r="R187" s="1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3">
        <f t="shared" si="24"/>
        <v>0</v>
      </c>
      <c r="AE187" s="107">
        <f t="shared" si="20"/>
        <v>-1490.2199999999993</v>
      </c>
    </row>
    <row r="188" spans="1:31" x14ac:dyDescent="0.2">
      <c r="A188" s="95">
        <f t="shared" si="18"/>
        <v>186</v>
      </c>
      <c r="B188" s="93" t="s">
        <v>125</v>
      </c>
      <c r="C188" s="113" t="s">
        <v>126</v>
      </c>
      <c r="D188" s="50"/>
      <c r="E188" s="51"/>
      <c r="F188" s="28">
        <v>6</v>
      </c>
      <c r="G188" s="37">
        <v>12</v>
      </c>
      <c r="H188" s="37">
        <f t="shared" si="26"/>
        <v>7</v>
      </c>
      <c r="I188" s="40">
        <f t="shared" si="27"/>
        <v>10731.61</v>
      </c>
      <c r="J188" s="15"/>
      <c r="K188" s="5"/>
      <c r="L188" s="5"/>
      <c r="M188" s="5"/>
      <c r="N188" s="5"/>
      <c r="O188" s="5"/>
      <c r="P188" s="117"/>
      <c r="Q188" s="120">
        <f t="shared" si="25"/>
        <v>10731.61</v>
      </c>
      <c r="R188" s="1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3">
        <f t="shared" si="24"/>
        <v>0</v>
      </c>
      <c r="AE188" s="107">
        <f t="shared" si="20"/>
        <v>10731.61</v>
      </c>
    </row>
    <row r="189" spans="1:31" hidden="1" x14ac:dyDescent="0.2">
      <c r="A189" s="95">
        <f t="shared" si="18"/>
        <v>187</v>
      </c>
      <c r="B189" s="93" t="s">
        <v>4</v>
      </c>
      <c r="C189" s="108"/>
      <c r="D189" s="109"/>
      <c r="E189" s="110"/>
      <c r="F189" s="18"/>
      <c r="G189" s="14"/>
      <c r="H189" s="2"/>
      <c r="I189" s="20"/>
      <c r="J189" s="15"/>
      <c r="K189" s="5"/>
      <c r="L189" s="5"/>
      <c r="M189" s="5"/>
      <c r="N189" s="5"/>
      <c r="O189" s="5"/>
      <c r="P189" s="32"/>
      <c r="Q189" s="33">
        <f t="shared" si="25"/>
        <v>0</v>
      </c>
      <c r="R189" s="1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3">
        <f t="shared" si="24"/>
        <v>0</v>
      </c>
      <c r="AE189" s="33">
        <f t="shared" si="20"/>
        <v>0</v>
      </c>
    </row>
    <row r="190" spans="1:31" x14ac:dyDescent="0.2">
      <c r="A190" s="95">
        <f t="shared" si="18"/>
        <v>188</v>
      </c>
      <c r="B190" s="21" t="s">
        <v>14</v>
      </c>
      <c r="C190" s="84" t="s">
        <v>233</v>
      </c>
      <c r="D190" s="46" t="s">
        <v>234</v>
      </c>
      <c r="E190" s="29">
        <v>41583</v>
      </c>
      <c r="F190" s="18">
        <v>11</v>
      </c>
      <c r="G190" s="14">
        <v>12</v>
      </c>
      <c r="H190" s="37">
        <f>SUM(G190-F190)+1</f>
        <v>2</v>
      </c>
      <c r="I190" s="40">
        <f>SUM(H190*$I$1)+300</f>
        <v>3280.46</v>
      </c>
      <c r="J190" s="16"/>
      <c r="K190" s="35"/>
      <c r="L190" s="35"/>
      <c r="M190" s="35"/>
      <c r="N190" s="35"/>
      <c r="O190" s="5"/>
      <c r="P190" s="117"/>
      <c r="Q190" s="122">
        <f t="shared" si="25"/>
        <v>3280.46</v>
      </c>
      <c r="R190" s="1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3">
        <f t="shared" si="24"/>
        <v>0</v>
      </c>
      <c r="AE190" s="33">
        <f t="shared" si="20"/>
        <v>3280.46</v>
      </c>
    </row>
    <row r="191" spans="1:31" hidden="1" x14ac:dyDescent="0.2">
      <c r="A191" s="95">
        <f t="shared" si="18"/>
        <v>189</v>
      </c>
      <c r="B191" s="21" t="s">
        <v>13</v>
      </c>
      <c r="C191" s="108"/>
      <c r="D191" s="109"/>
      <c r="E191" s="110"/>
      <c r="F191" s="18"/>
      <c r="G191" s="14"/>
      <c r="H191" s="2"/>
      <c r="I191" s="20"/>
      <c r="J191" s="15"/>
      <c r="K191" s="5"/>
      <c r="L191" s="5"/>
      <c r="M191" s="5"/>
      <c r="N191" s="5"/>
      <c r="O191" s="5"/>
      <c r="P191" s="32"/>
      <c r="Q191" s="33">
        <f t="shared" si="25"/>
        <v>0</v>
      </c>
      <c r="R191" s="1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3">
        <f t="shared" si="24"/>
        <v>0</v>
      </c>
      <c r="AE191" s="33">
        <f t="shared" si="20"/>
        <v>0</v>
      </c>
    </row>
    <row r="192" spans="1:31" x14ac:dyDescent="0.2">
      <c r="A192" s="95">
        <f t="shared" si="18"/>
        <v>190</v>
      </c>
      <c r="B192" s="21" t="s">
        <v>12</v>
      </c>
      <c r="C192" s="98" t="s">
        <v>272</v>
      </c>
      <c r="D192" s="137"/>
      <c r="E192" s="51"/>
      <c r="F192" s="18"/>
      <c r="G192" s="14"/>
      <c r="H192" s="37"/>
      <c r="I192" s="40"/>
      <c r="J192" s="16"/>
      <c r="K192" s="35"/>
      <c r="L192" s="35"/>
      <c r="M192" s="35"/>
      <c r="N192" s="35"/>
      <c r="O192" s="35"/>
      <c r="P192" s="136"/>
      <c r="Q192" s="122">
        <f t="shared" si="25"/>
        <v>0</v>
      </c>
      <c r="R192" s="1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3">
        <f t="shared" si="24"/>
        <v>0</v>
      </c>
      <c r="AE192" s="33">
        <f t="shared" si="20"/>
        <v>0</v>
      </c>
    </row>
    <row r="193" spans="1:31" x14ac:dyDescent="0.2">
      <c r="A193" s="95" t="e">
        <f>SUM(#REF!+1)</f>
        <v>#REF!</v>
      </c>
      <c r="B193" s="21" t="s">
        <v>5</v>
      </c>
      <c r="C193" s="82" t="s">
        <v>45</v>
      </c>
      <c r="D193" s="8" t="s">
        <v>46</v>
      </c>
      <c r="E193" s="29">
        <v>41442</v>
      </c>
      <c r="F193" s="28">
        <v>6</v>
      </c>
      <c r="G193" s="37">
        <v>12</v>
      </c>
      <c r="H193" s="37">
        <f t="shared" ref="H193:H203" si="28">SUM(G193-F193)+1</f>
        <v>7</v>
      </c>
      <c r="I193" s="40">
        <f t="shared" ref="I193:I203" si="29">SUM(H193*$I$1)+300</f>
        <v>10731.61</v>
      </c>
      <c r="J193" s="24"/>
      <c r="K193" s="23">
        <v>2980.46</v>
      </c>
      <c r="L193" s="23">
        <v>1490.23</v>
      </c>
      <c r="M193" s="23">
        <v>1490.23</v>
      </c>
      <c r="N193" s="23">
        <v>1490.23</v>
      </c>
      <c r="O193" s="23"/>
      <c r="P193" s="118">
        <f>1490.23+1800</f>
        <v>3290.23</v>
      </c>
      <c r="Q193" s="120">
        <f t="shared" si="25"/>
        <v>-9.7699999999986176</v>
      </c>
      <c r="R193" s="1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3">
        <f t="shared" si="24"/>
        <v>0</v>
      </c>
      <c r="AE193" s="107">
        <f t="shared" si="20"/>
        <v>-9.7699999999986176</v>
      </c>
    </row>
    <row r="194" spans="1:31" x14ac:dyDescent="0.2">
      <c r="A194" s="95" t="e">
        <f t="shared" ref="A194:A206" si="30">SUM(A193+1)</f>
        <v>#REF!</v>
      </c>
      <c r="B194" s="93" t="s">
        <v>144</v>
      </c>
      <c r="C194" s="84" t="s">
        <v>228</v>
      </c>
      <c r="D194" s="46" t="s">
        <v>235</v>
      </c>
      <c r="E194" s="29">
        <v>41565</v>
      </c>
      <c r="F194" s="18">
        <v>11</v>
      </c>
      <c r="G194" s="37">
        <v>12</v>
      </c>
      <c r="H194" s="37">
        <f t="shared" si="28"/>
        <v>2</v>
      </c>
      <c r="I194" s="40">
        <f t="shared" si="29"/>
        <v>3280.46</v>
      </c>
      <c r="J194" s="16"/>
      <c r="K194" s="35"/>
      <c r="L194" s="35"/>
      <c r="M194" s="35"/>
      <c r="N194" s="35"/>
      <c r="O194" s="5"/>
      <c r="P194" s="117"/>
      <c r="Q194" s="120">
        <f t="shared" si="25"/>
        <v>3280.46</v>
      </c>
      <c r="R194" s="1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3">
        <f t="shared" si="24"/>
        <v>0</v>
      </c>
      <c r="AE194" s="107">
        <f t="shared" si="20"/>
        <v>3280.46</v>
      </c>
    </row>
    <row r="195" spans="1:31" x14ac:dyDescent="0.2">
      <c r="A195" s="95" t="e">
        <f t="shared" si="30"/>
        <v>#REF!</v>
      </c>
      <c r="B195" s="21" t="s">
        <v>71</v>
      </c>
      <c r="C195" s="82" t="s">
        <v>72</v>
      </c>
      <c r="D195" s="8" t="s">
        <v>73</v>
      </c>
      <c r="E195" s="29">
        <v>41446</v>
      </c>
      <c r="F195" s="28">
        <v>6</v>
      </c>
      <c r="G195" s="37">
        <v>12</v>
      </c>
      <c r="H195" s="37">
        <f t="shared" si="28"/>
        <v>7</v>
      </c>
      <c r="I195" s="40">
        <f t="shared" si="29"/>
        <v>10731.61</v>
      </c>
      <c r="J195" s="24"/>
      <c r="K195" s="23">
        <v>8941.3799999999992</v>
      </c>
      <c r="L195" s="23"/>
      <c r="M195" s="23"/>
      <c r="N195" s="23"/>
      <c r="O195" s="23">
        <v>1790.23</v>
      </c>
      <c r="P195" s="118"/>
      <c r="Q195" s="120">
        <f t="shared" si="25"/>
        <v>1.8189894035458565E-12</v>
      </c>
      <c r="R195" s="1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3">
        <f t="shared" ref="AD195:AD201" si="31">SUM(R195:AC195)</f>
        <v>0</v>
      </c>
      <c r="AE195" s="107">
        <f t="shared" ref="AE195:AE207" si="32">AD195+Q195</f>
        <v>1.8189894035458565E-12</v>
      </c>
    </row>
    <row r="196" spans="1:31" x14ac:dyDescent="0.2">
      <c r="A196" s="95" t="e">
        <f t="shared" si="30"/>
        <v>#REF!</v>
      </c>
      <c r="B196" s="21" t="s">
        <v>6</v>
      </c>
      <c r="C196" s="83" t="s">
        <v>87</v>
      </c>
      <c r="D196" s="44" t="s">
        <v>168</v>
      </c>
      <c r="E196" s="29">
        <v>41470</v>
      </c>
      <c r="F196" s="28">
        <v>6</v>
      </c>
      <c r="G196" s="37">
        <v>12</v>
      </c>
      <c r="H196" s="37">
        <f t="shared" si="28"/>
        <v>7</v>
      </c>
      <c r="I196" s="40">
        <f t="shared" si="29"/>
        <v>10731.61</v>
      </c>
      <c r="J196" s="24"/>
      <c r="K196" s="23">
        <v>1490.23</v>
      </c>
      <c r="L196" s="23">
        <v>1490.23</v>
      </c>
      <c r="M196" s="23">
        <v>1490.23</v>
      </c>
      <c r="N196" s="23">
        <v>1490.23</v>
      </c>
      <c r="O196" s="23">
        <v>1490.23</v>
      </c>
      <c r="P196" s="118">
        <f>(1490.23*2)+2000</f>
        <v>4980.46</v>
      </c>
      <c r="Q196" s="120">
        <f t="shared" si="25"/>
        <v>-1700</v>
      </c>
      <c r="R196" s="1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3">
        <f t="shared" si="31"/>
        <v>0</v>
      </c>
      <c r="AE196" s="107">
        <f t="shared" si="32"/>
        <v>-1700</v>
      </c>
    </row>
    <row r="197" spans="1:31" x14ac:dyDescent="0.2">
      <c r="A197" s="95" t="e">
        <f t="shared" si="30"/>
        <v>#REF!</v>
      </c>
      <c r="B197" s="21" t="s">
        <v>7</v>
      </c>
      <c r="C197" s="111" t="s">
        <v>152</v>
      </c>
      <c r="D197" s="50"/>
      <c r="E197" s="51"/>
      <c r="F197" s="28">
        <v>6</v>
      </c>
      <c r="G197" s="37">
        <v>12</v>
      </c>
      <c r="H197" s="37">
        <f t="shared" si="28"/>
        <v>7</v>
      </c>
      <c r="I197" s="40">
        <f t="shared" si="29"/>
        <v>10731.61</v>
      </c>
      <c r="J197" s="15"/>
      <c r="K197" s="5"/>
      <c r="L197" s="5"/>
      <c r="M197" s="5"/>
      <c r="N197" s="5"/>
      <c r="O197" s="5"/>
      <c r="P197" s="117"/>
      <c r="Q197" s="120">
        <f t="shared" si="25"/>
        <v>10731.61</v>
      </c>
      <c r="R197" s="1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3">
        <f t="shared" si="31"/>
        <v>0</v>
      </c>
      <c r="AE197" s="107">
        <f t="shared" si="32"/>
        <v>10731.61</v>
      </c>
    </row>
    <row r="198" spans="1:31" x14ac:dyDescent="0.2">
      <c r="A198" s="95" t="e">
        <f t="shared" si="30"/>
        <v>#REF!</v>
      </c>
      <c r="B198" s="21" t="s">
        <v>2</v>
      </c>
      <c r="C198" s="82" t="s">
        <v>36</v>
      </c>
      <c r="D198" s="8" t="s">
        <v>51</v>
      </c>
      <c r="E198" s="29">
        <v>41444</v>
      </c>
      <c r="F198" s="28">
        <v>6</v>
      </c>
      <c r="G198" s="37">
        <v>12</v>
      </c>
      <c r="H198" s="37">
        <f t="shared" si="28"/>
        <v>7</v>
      </c>
      <c r="I198" s="40">
        <f t="shared" si="29"/>
        <v>10731.61</v>
      </c>
      <c r="J198" s="24"/>
      <c r="K198" s="23"/>
      <c r="L198" s="23"/>
      <c r="M198" s="23"/>
      <c r="N198" s="23"/>
      <c r="O198" s="23"/>
      <c r="P198" s="160">
        <v>8941.3799999999992</v>
      </c>
      <c r="Q198" s="120">
        <f t="shared" si="25"/>
        <v>1790.2300000000014</v>
      </c>
      <c r="R198" s="1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3">
        <f t="shared" si="31"/>
        <v>0</v>
      </c>
      <c r="AE198" s="107">
        <f t="shared" si="32"/>
        <v>1790.2300000000014</v>
      </c>
    </row>
    <row r="199" spans="1:31" x14ac:dyDescent="0.2">
      <c r="A199" s="95" t="e">
        <f t="shared" si="30"/>
        <v>#REF!</v>
      </c>
      <c r="B199" s="21" t="s">
        <v>8</v>
      </c>
      <c r="C199" s="84" t="s">
        <v>215</v>
      </c>
      <c r="D199" s="46" t="s">
        <v>241</v>
      </c>
      <c r="E199" s="29">
        <v>41566</v>
      </c>
      <c r="F199" s="18">
        <v>11</v>
      </c>
      <c r="G199" s="37">
        <v>12</v>
      </c>
      <c r="H199" s="37">
        <f t="shared" si="28"/>
        <v>2</v>
      </c>
      <c r="I199" s="40">
        <f t="shared" si="29"/>
        <v>3280.46</v>
      </c>
      <c r="J199" s="16"/>
      <c r="K199" s="35"/>
      <c r="L199" s="35"/>
      <c r="M199" s="35"/>
      <c r="N199" s="35"/>
      <c r="O199" s="5"/>
      <c r="P199" s="117"/>
      <c r="Q199" s="120">
        <f t="shared" si="25"/>
        <v>3280.46</v>
      </c>
      <c r="R199" s="1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3">
        <f t="shared" si="31"/>
        <v>0</v>
      </c>
      <c r="AE199" s="107">
        <f t="shared" si="32"/>
        <v>3280.46</v>
      </c>
    </row>
    <row r="200" spans="1:31" x14ac:dyDescent="0.2">
      <c r="A200" s="95" t="e">
        <f t="shared" si="30"/>
        <v>#REF!</v>
      </c>
      <c r="B200" s="21" t="s">
        <v>9</v>
      </c>
      <c r="C200" s="84" t="s">
        <v>215</v>
      </c>
      <c r="D200" s="46" t="s">
        <v>243</v>
      </c>
      <c r="E200" s="29">
        <v>41566</v>
      </c>
      <c r="F200" s="18">
        <v>11</v>
      </c>
      <c r="G200" s="37">
        <v>12</v>
      </c>
      <c r="H200" s="37">
        <f t="shared" si="28"/>
        <v>2</v>
      </c>
      <c r="I200" s="40">
        <f t="shared" si="29"/>
        <v>3280.46</v>
      </c>
      <c r="J200" s="16"/>
      <c r="K200" s="35"/>
      <c r="L200" s="35"/>
      <c r="M200" s="35"/>
      <c r="N200" s="35"/>
      <c r="O200" s="5"/>
      <c r="P200" s="117"/>
      <c r="Q200" s="120">
        <f t="shared" si="25"/>
        <v>3280.46</v>
      </c>
      <c r="R200" s="1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3">
        <f t="shared" si="31"/>
        <v>0</v>
      </c>
      <c r="AE200" s="107">
        <f t="shared" si="32"/>
        <v>3280.46</v>
      </c>
    </row>
    <row r="201" spans="1:31" x14ac:dyDescent="0.2">
      <c r="A201" s="95" t="e">
        <f t="shared" si="30"/>
        <v>#REF!</v>
      </c>
      <c r="B201" s="21" t="s">
        <v>0</v>
      </c>
      <c r="C201" s="82" t="s">
        <v>1</v>
      </c>
      <c r="D201" s="8" t="s">
        <v>27</v>
      </c>
      <c r="E201" s="29">
        <v>41424</v>
      </c>
      <c r="F201" s="28">
        <v>6</v>
      </c>
      <c r="G201" s="37">
        <v>12</v>
      </c>
      <c r="H201" s="37">
        <f t="shared" si="28"/>
        <v>7</v>
      </c>
      <c r="I201" s="40">
        <f t="shared" si="29"/>
        <v>10731.61</v>
      </c>
      <c r="J201" s="24">
        <v>1490.23</v>
      </c>
      <c r="K201" s="23">
        <v>1490.23</v>
      </c>
      <c r="L201" s="23"/>
      <c r="M201" s="23">
        <f>1490.23*2</f>
        <v>2980.46</v>
      </c>
      <c r="N201" s="23"/>
      <c r="O201" s="23">
        <v>2980.46</v>
      </c>
      <c r="P201" s="117"/>
      <c r="Q201" s="120">
        <f t="shared" si="25"/>
        <v>1790.2299999999996</v>
      </c>
      <c r="R201" s="1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3">
        <f t="shared" si="31"/>
        <v>0</v>
      </c>
      <c r="AE201" s="107">
        <f t="shared" si="32"/>
        <v>1790.2299999999996</v>
      </c>
    </row>
    <row r="202" spans="1:31" x14ac:dyDescent="0.2">
      <c r="A202" s="94" t="e">
        <f t="shared" si="30"/>
        <v>#REF!</v>
      </c>
      <c r="B202" s="105" t="s">
        <v>230</v>
      </c>
      <c r="C202" s="84" t="s">
        <v>231</v>
      </c>
      <c r="D202" s="46" t="s">
        <v>242</v>
      </c>
      <c r="E202" s="29"/>
      <c r="F202" s="28">
        <v>10</v>
      </c>
      <c r="G202" s="37">
        <v>12</v>
      </c>
      <c r="H202" s="37">
        <f t="shared" si="28"/>
        <v>3</v>
      </c>
      <c r="I202" s="40">
        <f t="shared" si="29"/>
        <v>4770.6900000000005</v>
      </c>
      <c r="J202" s="16"/>
      <c r="K202" s="35"/>
      <c r="L202" s="35"/>
      <c r="M202" s="35"/>
      <c r="N202" s="23"/>
      <c r="O202" s="23">
        <v>1490.23</v>
      </c>
      <c r="P202" s="118">
        <v>5070.2299999999996</v>
      </c>
      <c r="Q202" s="120">
        <f t="shared" si="25"/>
        <v>-1789.7699999999986</v>
      </c>
      <c r="R202" s="1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3"/>
      <c r="AE202" s="107">
        <f t="shared" si="32"/>
        <v>-1789.7699999999986</v>
      </c>
    </row>
    <row r="203" spans="1:31" x14ac:dyDescent="0.2">
      <c r="A203" s="95" t="e">
        <f t="shared" si="30"/>
        <v>#REF!</v>
      </c>
      <c r="B203" s="93" t="s">
        <v>105</v>
      </c>
      <c r="C203" s="112" t="s">
        <v>229</v>
      </c>
      <c r="D203" s="109"/>
      <c r="E203" s="110"/>
      <c r="F203" s="18">
        <v>10</v>
      </c>
      <c r="G203" s="37">
        <v>12</v>
      </c>
      <c r="H203" s="37">
        <f t="shared" si="28"/>
        <v>3</v>
      </c>
      <c r="I203" s="40">
        <f t="shared" si="29"/>
        <v>4770.6900000000005</v>
      </c>
      <c r="J203" s="16"/>
      <c r="K203" s="35"/>
      <c r="L203" s="35"/>
      <c r="M203" s="35"/>
      <c r="N203" s="23"/>
      <c r="O203" s="23"/>
      <c r="P203" s="118">
        <v>5000</v>
      </c>
      <c r="Q203" s="120">
        <f t="shared" si="25"/>
        <v>-229.30999999999949</v>
      </c>
      <c r="R203" s="1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3">
        <f>SUM(R203:AC203)</f>
        <v>0</v>
      </c>
      <c r="AE203" s="107">
        <f t="shared" si="32"/>
        <v>-229.30999999999949</v>
      </c>
    </row>
    <row r="204" spans="1:31" hidden="1" x14ac:dyDescent="0.2">
      <c r="A204" s="95" t="e">
        <f t="shared" si="30"/>
        <v>#REF!</v>
      </c>
      <c r="B204" s="93" t="s">
        <v>109</v>
      </c>
      <c r="C204" s="108"/>
      <c r="D204" s="109"/>
      <c r="E204" s="110"/>
      <c r="F204" s="18"/>
      <c r="G204" s="14"/>
      <c r="H204" s="2"/>
      <c r="I204" s="20"/>
      <c r="J204" s="15"/>
      <c r="K204" s="5"/>
      <c r="L204" s="5"/>
      <c r="M204" s="5"/>
      <c r="N204" s="5"/>
      <c r="O204" s="5"/>
      <c r="P204" s="32"/>
      <c r="Q204" s="33">
        <f t="shared" si="25"/>
        <v>0</v>
      </c>
      <c r="R204" s="1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3">
        <f>SUM(R204:AC204)</f>
        <v>0</v>
      </c>
      <c r="AE204" s="33">
        <f t="shared" si="32"/>
        <v>0</v>
      </c>
    </row>
    <row r="205" spans="1:31" x14ac:dyDescent="0.2">
      <c r="A205" s="95" t="e">
        <f t="shared" si="30"/>
        <v>#REF!</v>
      </c>
      <c r="B205" s="93" t="s">
        <v>110</v>
      </c>
      <c r="C205" s="84" t="s">
        <v>193</v>
      </c>
      <c r="D205" s="46" t="s">
        <v>194</v>
      </c>
      <c r="E205" s="29">
        <v>41548</v>
      </c>
      <c r="F205" s="28">
        <v>10</v>
      </c>
      <c r="G205" s="37">
        <v>12</v>
      </c>
      <c r="H205" s="37">
        <f>SUM(G205-F205)+1</f>
        <v>3</v>
      </c>
      <c r="I205" s="40">
        <f>SUM(H205*$I$1)+300</f>
        <v>4770.6900000000005</v>
      </c>
      <c r="J205" s="16"/>
      <c r="K205" s="35"/>
      <c r="L205" s="35"/>
      <c r="M205" s="35"/>
      <c r="N205" s="23"/>
      <c r="O205" s="23">
        <f>1490.23+1490.23</f>
        <v>2980.46</v>
      </c>
      <c r="P205" s="118">
        <f>1790.23+1790.23</f>
        <v>3580.46</v>
      </c>
      <c r="Q205" s="120">
        <f t="shared" si="25"/>
        <v>-1790.2299999999996</v>
      </c>
      <c r="R205" s="1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3">
        <f>SUM(R205:AC205)</f>
        <v>0</v>
      </c>
      <c r="AE205" s="107">
        <f t="shared" si="32"/>
        <v>-1790.2299999999996</v>
      </c>
    </row>
    <row r="206" spans="1:31" x14ac:dyDescent="0.2">
      <c r="A206" s="95" t="e">
        <f t="shared" si="30"/>
        <v>#REF!</v>
      </c>
      <c r="B206" s="21" t="s">
        <v>15</v>
      </c>
      <c r="C206" s="112" t="s">
        <v>261</v>
      </c>
      <c r="D206" s="109"/>
      <c r="E206" s="110"/>
      <c r="F206" s="18"/>
      <c r="G206" s="14"/>
      <c r="H206" s="2"/>
      <c r="I206" s="20"/>
      <c r="J206" s="16"/>
      <c r="K206" s="35"/>
      <c r="L206" s="35"/>
      <c r="M206" s="35"/>
      <c r="N206" s="35"/>
      <c r="O206" s="35"/>
      <c r="P206" s="32"/>
      <c r="Q206" s="33">
        <f t="shared" si="25"/>
        <v>0</v>
      </c>
      <c r="R206" s="1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3">
        <f>SUM(R206:AC206)</f>
        <v>0</v>
      </c>
      <c r="AE206" s="33">
        <f t="shared" si="32"/>
        <v>0</v>
      </c>
    </row>
    <row r="207" spans="1:31" ht="13.5" thickBot="1" x14ac:dyDescent="0.25">
      <c r="A207" s="96" t="e">
        <f t="shared" ref="A207" si="33">SUM(A206+1)</f>
        <v>#REF!</v>
      </c>
      <c r="B207" s="145" t="s">
        <v>3</v>
      </c>
      <c r="C207" s="148" t="s">
        <v>147</v>
      </c>
      <c r="D207" s="151"/>
      <c r="E207" s="153"/>
      <c r="F207" s="124">
        <v>9</v>
      </c>
      <c r="G207" s="125">
        <v>12</v>
      </c>
      <c r="H207" s="37">
        <f>SUM(G207-F207)+1</f>
        <v>4</v>
      </c>
      <c r="I207" s="40">
        <f>SUM(H207*$I$1)+300</f>
        <v>6260.92</v>
      </c>
      <c r="J207" s="157"/>
      <c r="K207" s="158"/>
      <c r="L207" s="158"/>
      <c r="M207" s="162"/>
      <c r="N207" s="162"/>
      <c r="O207" s="162"/>
      <c r="P207" s="163"/>
      <c r="Q207" s="126">
        <f t="shared" si="25"/>
        <v>6260.92</v>
      </c>
      <c r="R207" s="17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54">
        <f>SUM(R207:AC207)</f>
        <v>0</v>
      </c>
      <c r="AE207" s="127">
        <f t="shared" si="32"/>
        <v>6260.92</v>
      </c>
    </row>
    <row r="208" spans="1:31" s="13" customFormat="1" ht="25.5" customHeight="1" thickBot="1" x14ac:dyDescent="0.3">
      <c r="A208" s="10"/>
      <c r="B208" s="100"/>
      <c r="C208" s="92" t="s">
        <v>84</v>
      </c>
      <c r="D208" s="11"/>
      <c r="E208" s="12"/>
      <c r="F208" s="12"/>
      <c r="G208" s="12"/>
      <c r="H208" s="12"/>
      <c r="I208" s="12"/>
      <c r="J208" s="30">
        <f t="shared" ref="J208:P208" si="34">SUM(J3:J207)</f>
        <v>22353.449999999997</v>
      </c>
      <c r="K208" s="30">
        <f>SUM(K3:K207)</f>
        <v>41726.44</v>
      </c>
      <c r="L208" s="30">
        <f t="shared" si="34"/>
        <v>50687.360000000022</v>
      </c>
      <c r="M208" s="30">
        <f t="shared" si="34"/>
        <v>46196.44000000001</v>
      </c>
      <c r="N208" s="30">
        <f t="shared" si="34"/>
        <v>75541.680000000008</v>
      </c>
      <c r="O208" s="30">
        <f t="shared" si="34"/>
        <v>219748.13000000003</v>
      </c>
      <c r="P208" s="30">
        <f t="shared" si="34"/>
        <v>494786.98999999987</v>
      </c>
      <c r="Q208" s="34">
        <f>SUBTOTAL(9,Q3:Q207)</f>
        <v>329040.64000000019</v>
      </c>
      <c r="AD208" s="55">
        <f>SUM(AD164:AD207)</f>
        <v>0</v>
      </c>
      <c r="AE208" s="34">
        <f t="shared" ref="AE208" si="35">AD208+Q208</f>
        <v>329040.64000000019</v>
      </c>
    </row>
    <row r="209" spans="3:14" ht="30.75" customHeight="1" thickBot="1" x14ac:dyDescent="0.25">
      <c r="C209" s="41"/>
    </row>
    <row r="210" spans="3:14" ht="20.25" customHeight="1" thickBot="1" x14ac:dyDescent="0.25">
      <c r="C210" s="42" t="s">
        <v>205</v>
      </c>
      <c r="F210" s="104"/>
      <c r="G210" s="104"/>
      <c r="H210" s="166"/>
      <c r="I210" s="166"/>
      <c r="J210" s="166"/>
      <c r="K210" s="166"/>
      <c r="L210" s="166"/>
      <c r="M210" s="166"/>
      <c r="N210" s="166"/>
    </row>
    <row r="211" spans="3:14" ht="18.75" customHeight="1" thickBot="1" x14ac:dyDescent="0.25">
      <c r="C211" s="73" t="s">
        <v>203</v>
      </c>
    </row>
    <row r="212" spans="3:14" ht="18.75" customHeight="1" thickBot="1" x14ac:dyDescent="0.25">
      <c r="C212" s="74" t="s">
        <v>204</v>
      </c>
    </row>
  </sheetData>
  <autoFilter ref="B2:AE207">
    <filterColumn colId="1">
      <customFilters>
        <customFilter operator="notEqual" val=" "/>
      </customFilters>
    </filterColumn>
    <sortState ref="B3:AE207">
      <sortCondition ref="B2:B207"/>
    </sortState>
  </autoFilter>
  <mergeCells count="1">
    <mergeCell ref="H210:N210"/>
  </mergeCells>
  <pageMargins left="0.25" right="0.25" top="0.75" bottom="0.75" header="0.3" footer="0.3"/>
  <pageSetup paperSize="9" scale="72" fitToHeight="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K212"/>
  <sheetViews>
    <sheetView tabSelected="1" topLeftCell="B1" workbookViewId="0">
      <pane ySplit="2" topLeftCell="A171" activePane="bottomLeft" state="frozen"/>
      <selection activeCell="B1" sqref="B1"/>
      <selection pane="bottomLeft" activeCell="M213" sqref="M213"/>
    </sheetView>
  </sheetViews>
  <sheetFormatPr defaultRowHeight="12.75" outlineLevelCol="1" x14ac:dyDescent="0.2"/>
  <cols>
    <col min="1" max="1" width="6.5703125" style="1" hidden="1" customWidth="1"/>
    <col min="2" max="2" width="4.85546875" style="1" customWidth="1"/>
    <col min="3" max="3" width="37.5703125" style="43" customWidth="1"/>
    <col min="4" max="4" width="15.42578125" style="52" customWidth="1"/>
    <col min="5" max="5" width="8.7109375" style="38" customWidth="1"/>
    <col min="6" max="7" width="8.7109375" style="38" hidden="1" customWidth="1" outlineLevel="1"/>
    <col min="8" max="8" width="10" style="38" hidden="1" customWidth="1" outlineLevel="1"/>
    <col min="9" max="9" width="12" style="38" customWidth="1" collapsed="1"/>
    <col min="10" max="10" width="12" style="38" customWidth="1"/>
    <col min="11" max="16" width="11.42578125" style="1" customWidth="1" outlineLevel="1"/>
    <col min="17" max="17" width="11.42578125" style="119" customWidth="1" outlineLevel="1"/>
    <col min="18" max="22" width="11.42578125" style="1" customWidth="1" outlineLevel="1"/>
    <col min="23" max="23" width="11.5703125" style="31" customWidth="1"/>
    <col min="24" max="35" width="9.7109375" style="1" hidden="1" customWidth="1" outlineLevel="1"/>
    <col min="36" max="36" width="9.140625" style="6" hidden="1" customWidth="1" outlineLevel="1"/>
    <col min="37" max="37" width="11.5703125" style="71" hidden="1" customWidth="1" collapsed="1"/>
    <col min="38" max="38" width="8.7109375" style="1" customWidth="1"/>
    <col min="39" max="16384" width="9.140625" style="1"/>
  </cols>
  <sheetData>
    <row r="1" spans="1:37" ht="21" hidden="1" customHeight="1" thickBot="1" x14ac:dyDescent="0.25">
      <c r="F1" s="3"/>
      <c r="G1" s="3"/>
      <c r="H1" s="3"/>
      <c r="I1" s="9">
        <v>1790.23</v>
      </c>
      <c r="J1" s="138"/>
      <c r="Q1" s="1"/>
      <c r="AK1" s="7"/>
    </row>
    <row r="2" spans="1:37" s="4" customFormat="1" ht="55.5" customHeight="1" thickBot="1" x14ac:dyDescent="0.3">
      <c r="A2" s="61"/>
      <c r="B2" s="99" t="s">
        <v>77</v>
      </c>
      <c r="C2" s="80" t="s">
        <v>269</v>
      </c>
      <c r="D2" s="62" t="s">
        <v>78</v>
      </c>
      <c r="E2" s="63" t="s">
        <v>79</v>
      </c>
      <c r="F2" s="64" t="s">
        <v>102</v>
      </c>
      <c r="G2" s="65">
        <v>41974</v>
      </c>
      <c r="H2" s="62" t="s">
        <v>270</v>
      </c>
      <c r="I2" s="63" t="s">
        <v>271</v>
      </c>
      <c r="J2" s="68" t="s">
        <v>273</v>
      </c>
      <c r="K2" s="67">
        <v>41640</v>
      </c>
      <c r="L2" s="67">
        <v>41671</v>
      </c>
      <c r="M2" s="67">
        <v>41699</v>
      </c>
      <c r="N2" s="67">
        <v>41730</v>
      </c>
      <c r="O2" s="67">
        <v>41760</v>
      </c>
      <c r="P2" s="67">
        <v>41791</v>
      </c>
      <c r="Q2" s="67">
        <v>41821</v>
      </c>
      <c r="R2" s="67">
        <v>41852</v>
      </c>
      <c r="S2" s="67">
        <v>41883</v>
      </c>
      <c r="T2" s="67">
        <v>41913</v>
      </c>
      <c r="U2" s="67">
        <v>41944</v>
      </c>
      <c r="V2" s="67">
        <v>41974</v>
      </c>
      <c r="W2" s="68" t="s">
        <v>81</v>
      </c>
      <c r="X2" s="72">
        <v>41640</v>
      </c>
      <c r="Y2" s="65">
        <v>41671</v>
      </c>
      <c r="Z2" s="65">
        <v>41699</v>
      </c>
      <c r="AA2" s="65">
        <v>41730</v>
      </c>
      <c r="AB2" s="69">
        <v>41760</v>
      </c>
      <c r="AC2" s="67">
        <v>41791</v>
      </c>
      <c r="AD2" s="65">
        <v>41821</v>
      </c>
      <c r="AE2" s="65">
        <v>41852</v>
      </c>
      <c r="AF2" s="65">
        <v>41883</v>
      </c>
      <c r="AG2" s="65">
        <v>41913</v>
      </c>
      <c r="AH2" s="65">
        <v>41944</v>
      </c>
      <c r="AI2" s="69">
        <v>41974</v>
      </c>
      <c r="AJ2" s="70" t="s">
        <v>81</v>
      </c>
      <c r="AK2" s="68" t="s">
        <v>81</v>
      </c>
    </row>
    <row r="3" spans="1:37" s="4" customFormat="1" ht="15.75" x14ac:dyDescent="0.2">
      <c r="A3" s="94">
        <f t="shared" ref="A3:A66" si="0">SUM(A2+1)</f>
        <v>1</v>
      </c>
      <c r="B3" s="144">
        <v>1</v>
      </c>
      <c r="C3" s="146" t="s">
        <v>103</v>
      </c>
      <c r="D3" s="149" t="s">
        <v>236</v>
      </c>
      <c r="E3" s="152">
        <v>41426</v>
      </c>
      <c r="F3" s="102">
        <v>1</v>
      </c>
      <c r="G3" s="57">
        <v>12</v>
      </c>
      <c r="H3" s="37">
        <f>SUM(G3-F3)+1</f>
        <v>12</v>
      </c>
      <c r="I3" s="139">
        <f t="shared" ref="I3:I66" si="1">SUM(H3*$I$1)</f>
        <v>21482.760000000002</v>
      </c>
      <c r="J3" s="143">
        <f>'2013'!Q3</f>
        <v>3280.4600000000009</v>
      </c>
      <c r="K3" s="128"/>
      <c r="L3" s="129"/>
      <c r="M3" s="129"/>
      <c r="N3" s="129"/>
      <c r="O3" s="129"/>
      <c r="P3" s="129"/>
      <c r="Q3" s="130"/>
      <c r="R3" s="128"/>
      <c r="S3" s="129"/>
      <c r="T3" s="129"/>
      <c r="U3" s="129"/>
      <c r="V3" s="129"/>
      <c r="W3" s="121">
        <f>I3+J3-SUM(K3:V3)</f>
        <v>24763.22</v>
      </c>
      <c r="X3" s="58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60">
        <f t="shared" ref="AJ3:AJ34" si="2">SUM(X3:AI3)</f>
        <v>0</v>
      </c>
      <c r="AK3" s="106">
        <f t="shared" ref="AK3:AK66" si="3">AJ3+W3</f>
        <v>24763.22</v>
      </c>
    </row>
    <row r="4" spans="1:37" hidden="1" x14ac:dyDescent="0.2">
      <c r="A4" s="95">
        <f t="shared" si="0"/>
        <v>2</v>
      </c>
      <c r="B4" s="21">
        <v>2</v>
      </c>
      <c r="C4" s="108"/>
      <c r="D4" s="109"/>
      <c r="E4" s="110"/>
      <c r="F4" s="18"/>
      <c r="G4" s="14"/>
      <c r="H4" s="14"/>
      <c r="I4" s="139">
        <f t="shared" si="1"/>
        <v>0</v>
      </c>
      <c r="J4" s="143">
        <f>'2013'!Q4</f>
        <v>0</v>
      </c>
      <c r="K4" s="7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121">
        <f t="shared" ref="W4:W67" si="4">I4+J4-SUM(K4:V4)</f>
        <v>0</v>
      </c>
      <c r="X4" s="1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3">
        <f t="shared" si="2"/>
        <v>0</v>
      </c>
      <c r="AK4" s="33">
        <f t="shared" si="3"/>
        <v>0</v>
      </c>
    </row>
    <row r="5" spans="1:37" x14ac:dyDescent="0.2">
      <c r="A5" s="95">
        <f t="shared" si="0"/>
        <v>3</v>
      </c>
      <c r="B5" s="21">
        <v>3</v>
      </c>
      <c r="C5" s="84" t="s">
        <v>159</v>
      </c>
      <c r="D5" s="44" t="s">
        <v>264</v>
      </c>
      <c r="E5" s="45">
        <v>41496</v>
      </c>
      <c r="F5" s="28">
        <v>1</v>
      </c>
      <c r="G5" s="37">
        <v>12</v>
      </c>
      <c r="H5" s="37">
        <f>SUM(G5-F5)+1</f>
        <v>12</v>
      </c>
      <c r="I5" s="139">
        <f t="shared" si="1"/>
        <v>21482.760000000002</v>
      </c>
      <c r="J5" s="143">
        <f>'2013'!Q5</f>
        <v>7751.15</v>
      </c>
      <c r="K5" s="75"/>
      <c r="L5" s="25"/>
      <c r="M5" s="25"/>
      <c r="N5" s="25"/>
      <c r="O5" s="25"/>
      <c r="P5" s="25"/>
      <c r="Q5" s="131"/>
      <c r="R5" s="25"/>
      <c r="S5" s="25"/>
      <c r="T5" s="25"/>
      <c r="U5" s="25"/>
      <c r="V5" s="25"/>
      <c r="W5" s="121">
        <f t="shared" si="4"/>
        <v>29233.910000000003</v>
      </c>
      <c r="X5" s="1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3">
        <f t="shared" si="2"/>
        <v>0</v>
      </c>
      <c r="AK5" s="107">
        <f t="shared" si="3"/>
        <v>29233.910000000003</v>
      </c>
    </row>
    <row r="6" spans="1:37" hidden="1" x14ac:dyDescent="0.2">
      <c r="A6" s="95">
        <f t="shared" si="0"/>
        <v>4</v>
      </c>
      <c r="B6" s="21">
        <v>4</v>
      </c>
      <c r="C6" s="108"/>
      <c r="D6" s="109"/>
      <c r="E6" s="110"/>
      <c r="F6" s="18"/>
      <c r="G6" s="14"/>
      <c r="H6" s="2"/>
      <c r="I6" s="139">
        <f t="shared" si="1"/>
        <v>0</v>
      </c>
      <c r="J6" s="143">
        <f>'2013'!Q6</f>
        <v>0</v>
      </c>
      <c r="K6" s="7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121">
        <f t="shared" si="4"/>
        <v>0</v>
      </c>
      <c r="X6" s="1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3">
        <f t="shared" si="2"/>
        <v>0</v>
      </c>
      <c r="AK6" s="33">
        <f t="shared" si="3"/>
        <v>0</v>
      </c>
    </row>
    <row r="7" spans="1:37" x14ac:dyDescent="0.2">
      <c r="A7" s="95">
        <f t="shared" si="0"/>
        <v>5</v>
      </c>
      <c r="B7" s="21">
        <v>5</v>
      </c>
      <c r="C7" s="82" t="s">
        <v>31</v>
      </c>
      <c r="D7" s="8" t="s">
        <v>52</v>
      </c>
      <c r="E7" s="29">
        <v>41444</v>
      </c>
      <c r="F7" s="102">
        <v>1</v>
      </c>
      <c r="G7" s="103">
        <v>12</v>
      </c>
      <c r="H7" s="37">
        <f t="shared" ref="H7:H27" si="5">SUM(G7-F7)+1</f>
        <v>12</v>
      </c>
      <c r="I7" s="139">
        <f t="shared" si="1"/>
        <v>21482.760000000002</v>
      </c>
      <c r="J7" s="143">
        <f>'2013'!Q7</f>
        <v>-1268.3899999999994</v>
      </c>
      <c r="K7" s="75"/>
      <c r="L7" s="25"/>
      <c r="M7" s="25"/>
      <c r="N7" s="25"/>
      <c r="O7" s="25"/>
      <c r="P7" s="25"/>
      <c r="Q7" s="131"/>
      <c r="R7" s="25"/>
      <c r="S7" s="25"/>
      <c r="T7" s="25"/>
      <c r="U7" s="25"/>
      <c r="V7" s="25"/>
      <c r="W7" s="121">
        <f t="shared" si="4"/>
        <v>20214.370000000003</v>
      </c>
      <c r="X7" s="1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3">
        <f t="shared" si="2"/>
        <v>0</v>
      </c>
      <c r="AK7" s="107">
        <f t="shared" si="3"/>
        <v>20214.370000000003</v>
      </c>
    </row>
    <row r="8" spans="1:37" x14ac:dyDescent="0.2">
      <c r="A8" s="95">
        <f t="shared" si="0"/>
        <v>6</v>
      </c>
      <c r="B8" s="21">
        <v>6</v>
      </c>
      <c r="C8" s="82" t="s">
        <v>75</v>
      </c>
      <c r="D8" s="8" t="s">
        <v>76</v>
      </c>
      <c r="E8" s="29">
        <v>41449</v>
      </c>
      <c r="F8" s="28">
        <v>1</v>
      </c>
      <c r="G8" s="37">
        <v>12</v>
      </c>
      <c r="H8" s="37">
        <f t="shared" si="5"/>
        <v>12</v>
      </c>
      <c r="I8" s="139">
        <f t="shared" si="1"/>
        <v>21482.760000000002</v>
      </c>
      <c r="J8" s="143">
        <f>'2013'!Q8</f>
        <v>3231.6100000000006</v>
      </c>
      <c r="K8" s="24">
        <f>3300+1800</f>
        <v>5100</v>
      </c>
      <c r="L8" s="25"/>
      <c r="M8" s="25"/>
      <c r="N8" s="25"/>
      <c r="O8" s="25"/>
      <c r="P8" s="25"/>
      <c r="Q8" s="131"/>
      <c r="R8" s="25"/>
      <c r="S8" s="25"/>
      <c r="T8" s="25"/>
      <c r="U8" s="25"/>
      <c r="V8" s="25"/>
      <c r="W8" s="121">
        <f t="shared" si="4"/>
        <v>19614.370000000003</v>
      </c>
      <c r="X8" s="1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3">
        <f t="shared" si="2"/>
        <v>0</v>
      </c>
      <c r="AK8" s="107">
        <f t="shared" si="3"/>
        <v>19614.370000000003</v>
      </c>
    </row>
    <row r="9" spans="1:37" x14ac:dyDescent="0.2">
      <c r="A9" s="95">
        <f t="shared" si="0"/>
        <v>7</v>
      </c>
      <c r="B9" s="21">
        <v>7</v>
      </c>
      <c r="C9" s="81" t="s">
        <v>145</v>
      </c>
      <c r="D9" s="46" t="s">
        <v>258</v>
      </c>
      <c r="E9" s="29">
        <v>41573</v>
      </c>
      <c r="F9" s="28">
        <v>1</v>
      </c>
      <c r="G9" s="27">
        <v>12</v>
      </c>
      <c r="H9" s="37">
        <f t="shared" si="5"/>
        <v>12</v>
      </c>
      <c r="I9" s="139">
        <f t="shared" si="1"/>
        <v>21482.760000000002</v>
      </c>
      <c r="J9" s="143">
        <f>'2013'!Q9</f>
        <v>8941.61</v>
      </c>
      <c r="K9" s="75"/>
      <c r="L9" s="25"/>
      <c r="M9" s="25"/>
      <c r="N9" s="25"/>
      <c r="O9" s="25"/>
      <c r="P9" s="25"/>
      <c r="Q9" s="131"/>
      <c r="R9" s="25"/>
      <c r="S9" s="25"/>
      <c r="T9" s="25"/>
      <c r="U9" s="25"/>
      <c r="V9" s="25"/>
      <c r="W9" s="121">
        <f t="shared" si="4"/>
        <v>30424.370000000003</v>
      </c>
      <c r="X9" s="1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3">
        <f t="shared" si="2"/>
        <v>0</v>
      </c>
      <c r="AK9" s="107">
        <f t="shared" si="3"/>
        <v>30424.370000000003</v>
      </c>
    </row>
    <row r="10" spans="1:37" x14ac:dyDescent="0.2">
      <c r="A10" s="95">
        <f t="shared" si="0"/>
        <v>8</v>
      </c>
      <c r="B10" s="21">
        <v>8</v>
      </c>
      <c r="C10" s="101" t="s">
        <v>86</v>
      </c>
      <c r="D10" s="44" t="s">
        <v>91</v>
      </c>
      <c r="E10" s="45">
        <v>41456</v>
      </c>
      <c r="F10" s="28">
        <v>1</v>
      </c>
      <c r="G10" s="37">
        <v>12</v>
      </c>
      <c r="H10" s="37">
        <f t="shared" si="5"/>
        <v>12</v>
      </c>
      <c r="I10" s="139">
        <f t="shared" si="1"/>
        <v>21482.760000000002</v>
      </c>
      <c r="J10" s="143">
        <f>'2013'!Q10</f>
        <v>3280.380000000001</v>
      </c>
      <c r="K10" s="75"/>
      <c r="L10" s="25"/>
      <c r="M10" s="25"/>
      <c r="N10" s="25"/>
      <c r="O10" s="25"/>
      <c r="P10" s="25"/>
      <c r="Q10" s="131"/>
      <c r="R10" s="25"/>
      <c r="S10" s="25"/>
      <c r="T10" s="25"/>
      <c r="U10" s="25"/>
      <c r="V10" s="25"/>
      <c r="W10" s="121">
        <f t="shared" si="4"/>
        <v>24763.140000000003</v>
      </c>
      <c r="X10" s="1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3">
        <f t="shared" si="2"/>
        <v>0</v>
      </c>
      <c r="AK10" s="107">
        <f t="shared" si="3"/>
        <v>24763.140000000003</v>
      </c>
    </row>
    <row r="11" spans="1:37" x14ac:dyDescent="0.2">
      <c r="A11" s="95">
        <f t="shared" si="0"/>
        <v>9</v>
      </c>
      <c r="B11" s="21">
        <v>9</v>
      </c>
      <c r="C11" s="81" t="s">
        <v>146</v>
      </c>
      <c r="D11" s="46" t="s">
        <v>253</v>
      </c>
      <c r="E11" s="29">
        <v>41426</v>
      </c>
      <c r="F11" s="28">
        <v>1</v>
      </c>
      <c r="G11" s="37">
        <v>12</v>
      </c>
      <c r="H11" s="37">
        <f t="shared" si="5"/>
        <v>12</v>
      </c>
      <c r="I11" s="139">
        <f t="shared" si="1"/>
        <v>21482.760000000002</v>
      </c>
      <c r="J11" s="143">
        <f>'2013'!Q11</f>
        <v>10731.61</v>
      </c>
      <c r="K11" s="24">
        <f>10731.61+3590.23</f>
        <v>14321.84</v>
      </c>
      <c r="L11" s="23"/>
      <c r="M11" s="25"/>
      <c r="N11" s="25"/>
      <c r="O11" s="25"/>
      <c r="P11" s="25"/>
      <c r="Q11" s="131"/>
      <c r="R11" s="25"/>
      <c r="S11" s="25"/>
      <c r="T11" s="25"/>
      <c r="U11" s="25"/>
      <c r="V11" s="25"/>
      <c r="W11" s="121">
        <f t="shared" si="4"/>
        <v>17892.530000000002</v>
      </c>
      <c r="X11" s="1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3">
        <f t="shared" si="2"/>
        <v>0</v>
      </c>
      <c r="AK11" s="107">
        <f t="shared" si="3"/>
        <v>17892.530000000002</v>
      </c>
    </row>
    <row r="12" spans="1:37" ht="12" customHeight="1" x14ac:dyDescent="0.2">
      <c r="A12" s="95">
        <f t="shared" si="0"/>
        <v>10</v>
      </c>
      <c r="B12" s="21">
        <v>10</v>
      </c>
      <c r="C12" s="123" t="s">
        <v>164</v>
      </c>
      <c r="D12" s="46" t="s">
        <v>265</v>
      </c>
      <c r="E12" s="29">
        <v>41529</v>
      </c>
      <c r="F12" s="28">
        <v>1</v>
      </c>
      <c r="G12" s="37">
        <v>12</v>
      </c>
      <c r="H12" s="37">
        <f t="shared" si="5"/>
        <v>12</v>
      </c>
      <c r="I12" s="139">
        <f t="shared" si="1"/>
        <v>21482.760000000002</v>
      </c>
      <c r="J12" s="143">
        <f>'2013'!Q12</f>
        <v>-229.30999999999949</v>
      </c>
      <c r="K12" s="75"/>
      <c r="L12" s="25"/>
      <c r="M12" s="25"/>
      <c r="N12" s="25"/>
      <c r="O12" s="25"/>
      <c r="P12" s="25"/>
      <c r="Q12" s="131"/>
      <c r="R12" s="25"/>
      <c r="S12" s="25"/>
      <c r="T12" s="25"/>
      <c r="U12" s="25"/>
      <c r="V12" s="25"/>
      <c r="W12" s="121">
        <f t="shared" si="4"/>
        <v>21253.450000000004</v>
      </c>
      <c r="X12" s="1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3">
        <f t="shared" si="2"/>
        <v>0</v>
      </c>
      <c r="AK12" s="107">
        <f t="shared" si="3"/>
        <v>21253.450000000004</v>
      </c>
    </row>
    <row r="13" spans="1:37" x14ac:dyDescent="0.2">
      <c r="A13" s="94">
        <f t="shared" si="0"/>
        <v>11</v>
      </c>
      <c r="B13" s="21">
        <v>11</v>
      </c>
      <c r="C13" s="82" t="s">
        <v>39</v>
      </c>
      <c r="D13" s="8" t="s">
        <v>53</v>
      </c>
      <c r="E13" s="29">
        <v>41444</v>
      </c>
      <c r="F13" s="28">
        <v>1</v>
      </c>
      <c r="G13" s="37">
        <v>12</v>
      </c>
      <c r="H13" s="37">
        <f t="shared" si="5"/>
        <v>12</v>
      </c>
      <c r="I13" s="139">
        <f t="shared" si="1"/>
        <v>21482.760000000002</v>
      </c>
      <c r="J13" s="143">
        <f>'2013'!Q13</f>
        <v>10731.61</v>
      </c>
      <c r="K13" s="75"/>
      <c r="L13" s="25"/>
      <c r="M13" s="25"/>
      <c r="N13" s="25"/>
      <c r="O13" s="25"/>
      <c r="P13" s="25"/>
      <c r="Q13" s="131"/>
      <c r="R13" s="25"/>
      <c r="S13" s="25"/>
      <c r="T13" s="25"/>
      <c r="U13" s="25"/>
      <c r="V13" s="25"/>
      <c r="W13" s="121">
        <f t="shared" si="4"/>
        <v>32214.370000000003</v>
      </c>
      <c r="X13" s="1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3">
        <f t="shared" si="2"/>
        <v>0</v>
      </c>
      <c r="AK13" s="107">
        <f t="shared" si="3"/>
        <v>32214.370000000003</v>
      </c>
    </row>
    <row r="14" spans="1:37" x14ac:dyDescent="0.2">
      <c r="A14" s="95">
        <f t="shared" si="0"/>
        <v>12</v>
      </c>
      <c r="B14" s="21">
        <v>12</v>
      </c>
      <c r="C14" s="84" t="s">
        <v>214</v>
      </c>
      <c r="D14" s="46" t="s">
        <v>232</v>
      </c>
      <c r="E14" s="29">
        <v>41560</v>
      </c>
      <c r="F14" s="28">
        <v>1</v>
      </c>
      <c r="G14" s="14">
        <v>12</v>
      </c>
      <c r="H14" s="37">
        <f t="shared" si="5"/>
        <v>12</v>
      </c>
      <c r="I14" s="139">
        <f t="shared" si="1"/>
        <v>21482.760000000002</v>
      </c>
      <c r="J14" s="143">
        <f>'2013'!Q14</f>
        <v>-1190.2300000000005</v>
      </c>
      <c r="K14" s="75"/>
      <c r="L14" s="25"/>
      <c r="M14" s="25"/>
      <c r="N14" s="25"/>
      <c r="O14" s="25"/>
      <c r="P14" s="25"/>
      <c r="Q14" s="131"/>
      <c r="R14" s="25"/>
      <c r="S14" s="25"/>
      <c r="T14" s="25"/>
      <c r="U14" s="25"/>
      <c r="V14" s="25"/>
      <c r="W14" s="121">
        <f t="shared" si="4"/>
        <v>20292.530000000002</v>
      </c>
      <c r="X14" s="24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3">
        <f t="shared" si="2"/>
        <v>0</v>
      </c>
      <c r="AK14" s="107">
        <f t="shared" si="3"/>
        <v>20292.530000000002</v>
      </c>
    </row>
    <row r="15" spans="1:37" x14ac:dyDescent="0.2">
      <c r="A15" s="95">
        <f t="shared" si="0"/>
        <v>13</v>
      </c>
      <c r="B15" s="21">
        <v>13</v>
      </c>
      <c r="C15" s="86" t="s">
        <v>96</v>
      </c>
      <c r="D15" s="46" t="s">
        <v>188</v>
      </c>
      <c r="E15" s="29">
        <v>41449</v>
      </c>
      <c r="F15" s="28">
        <v>1</v>
      </c>
      <c r="G15" s="37">
        <v>12</v>
      </c>
      <c r="H15" s="37">
        <f t="shared" si="5"/>
        <v>12</v>
      </c>
      <c r="I15" s="139">
        <f t="shared" si="1"/>
        <v>21482.760000000002</v>
      </c>
      <c r="J15" s="143">
        <f>'2013'!Q15</f>
        <v>0.22999999999956344</v>
      </c>
      <c r="K15" s="24">
        <f>1490.46+2090.23</f>
        <v>3580.69</v>
      </c>
      <c r="L15" s="23"/>
      <c r="M15" s="25"/>
      <c r="N15" s="25"/>
      <c r="O15" s="25"/>
      <c r="P15" s="25"/>
      <c r="Q15" s="131"/>
      <c r="R15" s="25"/>
      <c r="S15" s="25"/>
      <c r="T15" s="25"/>
      <c r="U15" s="25"/>
      <c r="V15" s="25"/>
      <c r="W15" s="121">
        <f t="shared" si="4"/>
        <v>17902.300000000003</v>
      </c>
      <c r="X15" s="1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3">
        <f t="shared" si="2"/>
        <v>0</v>
      </c>
      <c r="AK15" s="107">
        <f t="shared" si="3"/>
        <v>17902.300000000003</v>
      </c>
    </row>
    <row r="16" spans="1:37" x14ac:dyDescent="0.2">
      <c r="A16" s="95">
        <f t="shared" si="0"/>
        <v>14</v>
      </c>
      <c r="B16" s="21">
        <v>14</v>
      </c>
      <c r="C16" s="82" t="s">
        <v>35</v>
      </c>
      <c r="D16" s="8" t="s">
        <v>54</v>
      </c>
      <c r="E16" s="29">
        <v>41444</v>
      </c>
      <c r="F16" s="28">
        <v>1</v>
      </c>
      <c r="G16" s="37">
        <v>12</v>
      </c>
      <c r="H16" s="37">
        <f t="shared" si="5"/>
        <v>12</v>
      </c>
      <c r="I16" s="139">
        <f t="shared" si="1"/>
        <v>21482.760000000002</v>
      </c>
      <c r="J16" s="143">
        <f>'2013'!Q16</f>
        <v>1.8189894035458565E-12</v>
      </c>
      <c r="K16" s="75"/>
      <c r="L16" s="25"/>
      <c r="M16" s="25"/>
      <c r="N16" s="25"/>
      <c r="O16" s="25"/>
      <c r="P16" s="25"/>
      <c r="Q16" s="131"/>
      <c r="R16" s="25"/>
      <c r="S16" s="25"/>
      <c r="T16" s="25"/>
      <c r="U16" s="25"/>
      <c r="V16" s="25"/>
      <c r="W16" s="121">
        <f t="shared" si="4"/>
        <v>21482.760000000002</v>
      </c>
      <c r="X16" s="1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3">
        <f t="shared" si="2"/>
        <v>0</v>
      </c>
      <c r="AK16" s="107">
        <f t="shared" si="3"/>
        <v>21482.760000000002</v>
      </c>
    </row>
    <row r="17" spans="1:37" x14ac:dyDescent="0.2">
      <c r="A17" s="95">
        <f t="shared" si="0"/>
        <v>15</v>
      </c>
      <c r="B17" s="21">
        <v>15</v>
      </c>
      <c r="C17" s="82" t="s">
        <v>38</v>
      </c>
      <c r="D17" s="8" t="s">
        <v>55</v>
      </c>
      <c r="E17" s="29">
        <v>41444</v>
      </c>
      <c r="F17" s="28">
        <v>1</v>
      </c>
      <c r="G17" s="37">
        <v>12</v>
      </c>
      <c r="H17" s="37">
        <f t="shared" si="5"/>
        <v>12</v>
      </c>
      <c r="I17" s="139">
        <f t="shared" si="1"/>
        <v>21482.760000000002</v>
      </c>
      <c r="J17" s="143">
        <f>'2013'!Q17</f>
        <v>0</v>
      </c>
      <c r="K17" s="75"/>
      <c r="L17" s="25"/>
      <c r="M17" s="25"/>
      <c r="N17" s="25"/>
      <c r="O17" s="25"/>
      <c r="P17" s="25"/>
      <c r="Q17" s="131"/>
      <c r="R17" s="25"/>
      <c r="S17" s="25"/>
      <c r="T17" s="25"/>
      <c r="U17" s="25"/>
      <c r="V17" s="25"/>
      <c r="W17" s="121">
        <f t="shared" si="4"/>
        <v>21482.760000000002</v>
      </c>
      <c r="X17" s="1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3">
        <f t="shared" si="2"/>
        <v>0</v>
      </c>
      <c r="AK17" s="107">
        <f t="shared" si="3"/>
        <v>21482.760000000002</v>
      </c>
    </row>
    <row r="18" spans="1:37" x14ac:dyDescent="0.2">
      <c r="A18" s="95">
        <f t="shared" si="0"/>
        <v>16</v>
      </c>
      <c r="B18" s="21">
        <v>16</v>
      </c>
      <c r="C18" s="82" t="s">
        <v>16</v>
      </c>
      <c r="D18" s="46" t="s">
        <v>211</v>
      </c>
      <c r="E18" s="29">
        <v>41426</v>
      </c>
      <c r="F18" s="28">
        <v>1</v>
      </c>
      <c r="G18" s="37">
        <v>12</v>
      </c>
      <c r="H18" s="37">
        <f t="shared" si="5"/>
        <v>12</v>
      </c>
      <c r="I18" s="139">
        <f t="shared" si="1"/>
        <v>21482.760000000002</v>
      </c>
      <c r="J18" s="143">
        <f>'2013'!Q18</f>
        <v>0</v>
      </c>
      <c r="K18" s="75"/>
      <c r="L18" s="25"/>
      <c r="M18" s="25"/>
      <c r="N18" s="25"/>
      <c r="O18" s="25"/>
      <c r="P18" s="25"/>
      <c r="Q18" s="131"/>
      <c r="R18" s="25"/>
      <c r="S18" s="25"/>
      <c r="T18" s="25"/>
      <c r="U18" s="25"/>
      <c r="V18" s="25"/>
      <c r="W18" s="121">
        <f t="shared" si="4"/>
        <v>21482.760000000002</v>
      </c>
      <c r="X18" s="1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3">
        <f t="shared" si="2"/>
        <v>0</v>
      </c>
      <c r="AK18" s="107">
        <f t="shared" si="3"/>
        <v>21482.760000000002</v>
      </c>
    </row>
    <row r="19" spans="1:37" x14ac:dyDescent="0.2">
      <c r="A19" s="95">
        <f t="shared" si="0"/>
        <v>17</v>
      </c>
      <c r="B19" s="21">
        <v>17</v>
      </c>
      <c r="C19" s="82" t="s">
        <v>43</v>
      </c>
      <c r="D19" s="8" t="s">
        <v>56</v>
      </c>
      <c r="E19" s="29">
        <v>41444</v>
      </c>
      <c r="F19" s="28">
        <v>1</v>
      </c>
      <c r="G19" s="37">
        <v>12</v>
      </c>
      <c r="H19" s="37">
        <f t="shared" si="5"/>
        <v>12</v>
      </c>
      <c r="I19" s="139">
        <f t="shared" si="1"/>
        <v>21482.760000000002</v>
      </c>
      <c r="J19" s="143">
        <f>'2013'!Q19</f>
        <v>10731.61</v>
      </c>
      <c r="K19" s="75">
        <v>10431.61</v>
      </c>
      <c r="L19" s="25"/>
      <c r="M19" s="25"/>
      <c r="N19" s="25"/>
      <c r="O19" s="25"/>
      <c r="P19" s="25"/>
      <c r="Q19" s="131"/>
      <c r="R19" s="25"/>
      <c r="S19" s="25"/>
      <c r="T19" s="25"/>
      <c r="U19" s="25"/>
      <c r="V19" s="25"/>
      <c r="W19" s="121">
        <f t="shared" si="4"/>
        <v>21782.760000000002</v>
      </c>
      <c r="X19" s="1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3">
        <f t="shared" si="2"/>
        <v>0</v>
      </c>
      <c r="AK19" s="107">
        <f t="shared" si="3"/>
        <v>21782.760000000002</v>
      </c>
    </row>
    <row r="20" spans="1:37" x14ac:dyDescent="0.2">
      <c r="A20" s="95">
        <f t="shared" si="0"/>
        <v>18</v>
      </c>
      <c r="B20" s="21">
        <v>18</v>
      </c>
      <c r="C20" s="81" t="s">
        <v>148</v>
      </c>
      <c r="D20" s="46" t="s">
        <v>177</v>
      </c>
      <c r="E20" s="29">
        <v>41505</v>
      </c>
      <c r="F20" s="28">
        <v>1</v>
      </c>
      <c r="G20" s="103">
        <v>12</v>
      </c>
      <c r="H20" s="37">
        <f t="shared" si="5"/>
        <v>12</v>
      </c>
      <c r="I20" s="139">
        <f t="shared" si="1"/>
        <v>21482.760000000002</v>
      </c>
      <c r="J20" s="143">
        <f>'2013'!Q20</f>
        <v>4771.6100000000006</v>
      </c>
      <c r="K20" s="75"/>
      <c r="L20" s="25"/>
      <c r="M20" s="25"/>
      <c r="N20" s="25"/>
      <c r="O20" s="25"/>
      <c r="P20" s="25"/>
      <c r="Q20" s="131"/>
      <c r="R20" s="25"/>
      <c r="S20" s="25"/>
      <c r="T20" s="25"/>
      <c r="U20" s="25"/>
      <c r="V20" s="25"/>
      <c r="W20" s="121">
        <f t="shared" si="4"/>
        <v>26254.370000000003</v>
      </c>
      <c r="X20" s="1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3">
        <f t="shared" si="2"/>
        <v>0</v>
      </c>
      <c r="AK20" s="107">
        <f t="shared" si="3"/>
        <v>26254.370000000003</v>
      </c>
    </row>
    <row r="21" spans="1:37" x14ac:dyDescent="0.2">
      <c r="A21" s="95">
        <f t="shared" si="0"/>
        <v>19</v>
      </c>
      <c r="B21" s="21">
        <v>19</v>
      </c>
      <c r="C21" s="86" t="s">
        <v>97</v>
      </c>
      <c r="D21" s="46" t="s">
        <v>183</v>
      </c>
      <c r="E21" s="29">
        <v>41472</v>
      </c>
      <c r="F21" s="28">
        <v>1</v>
      </c>
      <c r="G21" s="103">
        <v>12</v>
      </c>
      <c r="H21" s="37">
        <f t="shared" si="5"/>
        <v>12</v>
      </c>
      <c r="I21" s="139">
        <f t="shared" si="1"/>
        <v>21482.760000000002</v>
      </c>
      <c r="J21" s="143">
        <f>'2013'!Q21</f>
        <v>-8951.1500000000015</v>
      </c>
      <c r="K21" s="24"/>
      <c r="L21" s="23"/>
      <c r="M21" s="23"/>
      <c r="N21" s="23"/>
      <c r="O21" s="23"/>
      <c r="P21" s="25"/>
      <c r="Q21" s="131"/>
      <c r="R21" s="25"/>
      <c r="S21" s="25"/>
      <c r="T21" s="25"/>
      <c r="U21" s="25"/>
      <c r="V21" s="25"/>
      <c r="W21" s="121">
        <f t="shared" si="4"/>
        <v>12531.61</v>
      </c>
      <c r="X21" s="24"/>
      <c r="Y21" s="23"/>
      <c r="Z21" s="23"/>
      <c r="AA21" s="23"/>
      <c r="AB21" s="23"/>
      <c r="AC21" s="5"/>
      <c r="AD21" s="5"/>
      <c r="AE21" s="5"/>
      <c r="AF21" s="5"/>
      <c r="AG21" s="5"/>
      <c r="AH21" s="5"/>
      <c r="AI21" s="5"/>
      <c r="AJ21" s="53">
        <f t="shared" si="2"/>
        <v>0</v>
      </c>
      <c r="AK21" s="107">
        <f t="shared" si="3"/>
        <v>12531.61</v>
      </c>
    </row>
    <row r="22" spans="1:37" x14ac:dyDescent="0.2">
      <c r="A22" s="95">
        <f t="shared" si="0"/>
        <v>20</v>
      </c>
      <c r="B22" s="21">
        <v>20</v>
      </c>
      <c r="C22" s="81" t="s">
        <v>149</v>
      </c>
      <c r="D22" s="46" t="s">
        <v>251</v>
      </c>
      <c r="E22" s="29">
        <v>41426</v>
      </c>
      <c r="F22" s="28">
        <v>1</v>
      </c>
      <c r="G22" s="37">
        <v>12</v>
      </c>
      <c r="H22" s="37">
        <f t="shared" si="5"/>
        <v>12</v>
      </c>
      <c r="I22" s="139">
        <f t="shared" si="1"/>
        <v>21482.760000000002</v>
      </c>
      <c r="J22" s="143">
        <f>'2013'!Q22</f>
        <v>300</v>
      </c>
      <c r="K22" s="24">
        <v>10431.61</v>
      </c>
      <c r="L22" s="23"/>
      <c r="M22" s="23"/>
      <c r="N22" s="23"/>
      <c r="O22" s="23"/>
      <c r="P22" s="25"/>
      <c r="Q22" s="131"/>
      <c r="R22" s="25"/>
      <c r="S22" s="25"/>
      <c r="T22" s="25"/>
      <c r="U22" s="25"/>
      <c r="V22" s="25"/>
      <c r="W22" s="121">
        <f t="shared" si="4"/>
        <v>11351.150000000001</v>
      </c>
      <c r="X22" s="1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3">
        <f t="shared" si="2"/>
        <v>0</v>
      </c>
      <c r="AK22" s="107">
        <f t="shared" si="3"/>
        <v>11351.150000000001</v>
      </c>
    </row>
    <row r="23" spans="1:37" x14ac:dyDescent="0.2">
      <c r="A23" s="94">
        <f t="shared" si="0"/>
        <v>21</v>
      </c>
      <c r="B23" s="21">
        <v>21</v>
      </c>
      <c r="C23" s="82" t="s">
        <v>44</v>
      </c>
      <c r="D23" s="150" t="s">
        <v>57</v>
      </c>
      <c r="E23" s="29">
        <v>41444</v>
      </c>
      <c r="F23" s="28">
        <v>1</v>
      </c>
      <c r="G23" s="103">
        <v>12</v>
      </c>
      <c r="H23" s="37">
        <f t="shared" si="5"/>
        <v>12</v>
      </c>
      <c r="I23" s="139">
        <f t="shared" si="1"/>
        <v>21482.760000000002</v>
      </c>
      <c r="J23" s="143">
        <f>'2013'!Q23</f>
        <v>1.0000000000218279E-2</v>
      </c>
      <c r="K23" s="75"/>
      <c r="L23" s="25"/>
      <c r="M23" s="25"/>
      <c r="N23" s="25"/>
      <c r="O23" s="25"/>
      <c r="P23" s="25"/>
      <c r="Q23" s="131"/>
      <c r="R23" s="25"/>
      <c r="S23" s="25"/>
      <c r="T23" s="25"/>
      <c r="U23" s="25"/>
      <c r="V23" s="25"/>
      <c r="W23" s="121">
        <f t="shared" si="4"/>
        <v>21482.770000000004</v>
      </c>
      <c r="X23" s="1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3">
        <f t="shared" si="2"/>
        <v>0</v>
      </c>
      <c r="AK23" s="107">
        <f t="shared" si="3"/>
        <v>21482.770000000004</v>
      </c>
    </row>
    <row r="24" spans="1:37" x14ac:dyDescent="0.2">
      <c r="A24" s="95">
        <f t="shared" si="0"/>
        <v>22</v>
      </c>
      <c r="B24" s="21">
        <v>22</v>
      </c>
      <c r="C24" s="81" t="s">
        <v>150</v>
      </c>
      <c r="D24" s="46" t="s">
        <v>166</v>
      </c>
      <c r="E24" s="29">
        <v>41512</v>
      </c>
      <c r="F24" s="76">
        <v>1</v>
      </c>
      <c r="G24" s="103">
        <v>12</v>
      </c>
      <c r="H24" s="37">
        <f t="shared" si="5"/>
        <v>12</v>
      </c>
      <c r="I24" s="139">
        <f t="shared" si="1"/>
        <v>21482.760000000002</v>
      </c>
      <c r="J24" s="143">
        <f>'2013'!Q24</f>
        <v>300.00000000000182</v>
      </c>
      <c r="K24" s="75"/>
      <c r="L24" s="25"/>
      <c r="M24" s="25"/>
      <c r="N24" s="131"/>
      <c r="O24" s="25"/>
      <c r="P24" s="25"/>
      <c r="Q24" s="131"/>
      <c r="R24" s="25"/>
      <c r="S24" s="25"/>
      <c r="T24" s="25"/>
      <c r="U24" s="131"/>
      <c r="V24" s="25"/>
      <c r="W24" s="121">
        <f t="shared" si="4"/>
        <v>21782.760000000002</v>
      </c>
      <c r="X24" s="1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3">
        <f t="shared" si="2"/>
        <v>0</v>
      </c>
      <c r="AK24" s="107">
        <f t="shared" si="3"/>
        <v>21782.760000000002</v>
      </c>
    </row>
    <row r="25" spans="1:37" x14ac:dyDescent="0.2">
      <c r="A25" s="95">
        <f t="shared" si="0"/>
        <v>23</v>
      </c>
      <c r="B25" s="21">
        <v>23</v>
      </c>
      <c r="C25" s="81" t="s">
        <v>151</v>
      </c>
      <c r="D25" s="46" t="s">
        <v>254</v>
      </c>
      <c r="E25" s="29">
        <v>41426</v>
      </c>
      <c r="F25" s="28">
        <v>1</v>
      </c>
      <c r="G25" s="57">
        <v>12</v>
      </c>
      <c r="H25" s="37">
        <f t="shared" si="5"/>
        <v>12</v>
      </c>
      <c r="I25" s="139">
        <f t="shared" si="1"/>
        <v>21482.760000000002</v>
      </c>
      <c r="J25" s="143">
        <f>'2013'!Q25</f>
        <v>10731.61</v>
      </c>
      <c r="K25" s="24">
        <v>12700</v>
      </c>
      <c r="L25" s="25"/>
      <c r="M25" s="25"/>
      <c r="N25" s="25"/>
      <c r="O25" s="25"/>
      <c r="P25" s="25"/>
      <c r="Q25" s="131"/>
      <c r="R25" s="25"/>
      <c r="S25" s="25"/>
      <c r="T25" s="25"/>
      <c r="U25" s="25"/>
      <c r="V25" s="25"/>
      <c r="W25" s="121">
        <f t="shared" si="4"/>
        <v>19514.370000000003</v>
      </c>
      <c r="X25" s="1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3">
        <f t="shared" si="2"/>
        <v>0</v>
      </c>
      <c r="AK25" s="107">
        <f t="shared" si="3"/>
        <v>19514.370000000003</v>
      </c>
    </row>
    <row r="26" spans="1:37" x14ac:dyDescent="0.2">
      <c r="A26" s="95">
        <f t="shared" si="0"/>
        <v>24</v>
      </c>
      <c r="B26" s="22">
        <v>24</v>
      </c>
      <c r="C26" s="97" t="s">
        <v>201</v>
      </c>
      <c r="D26" s="50"/>
      <c r="E26" s="51"/>
      <c r="F26" s="28">
        <v>1</v>
      </c>
      <c r="G26" s="103">
        <v>12</v>
      </c>
      <c r="H26" s="37">
        <f t="shared" si="5"/>
        <v>12</v>
      </c>
      <c r="I26" s="139">
        <f t="shared" si="1"/>
        <v>21482.760000000002</v>
      </c>
      <c r="J26" s="143">
        <f>'2013'!Q26</f>
        <v>6260.92</v>
      </c>
      <c r="K26" s="75">
        <v>1490.23</v>
      </c>
      <c r="L26" s="25"/>
      <c r="M26" s="25"/>
      <c r="N26" s="25"/>
      <c r="O26" s="25"/>
      <c r="P26" s="25"/>
      <c r="Q26" s="131"/>
      <c r="R26" s="25"/>
      <c r="S26" s="25"/>
      <c r="T26" s="25"/>
      <c r="U26" s="25"/>
      <c r="V26" s="25"/>
      <c r="W26" s="121">
        <f t="shared" si="4"/>
        <v>26253.45</v>
      </c>
      <c r="X26" s="1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3">
        <f t="shared" si="2"/>
        <v>0</v>
      </c>
      <c r="AK26" s="107">
        <f t="shared" si="3"/>
        <v>26253.45</v>
      </c>
    </row>
    <row r="27" spans="1:37" x14ac:dyDescent="0.2">
      <c r="A27" s="95">
        <f t="shared" si="0"/>
        <v>25</v>
      </c>
      <c r="B27" s="21">
        <v>25</v>
      </c>
      <c r="C27" s="111" t="s">
        <v>153</v>
      </c>
      <c r="D27" s="50"/>
      <c r="E27" s="51"/>
      <c r="F27" s="28">
        <v>1</v>
      </c>
      <c r="G27" s="37">
        <v>12</v>
      </c>
      <c r="H27" s="37">
        <f t="shared" si="5"/>
        <v>12</v>
      </c>
      <c r="I27" s="139">
        <f t="shared" si="1"/>
        <v>21482.760000000002</v>
      </c>
      <c r="J27" s="143">
        <f>'2013'!Q27</f>
        <v>10731.61</v>
      </c>
      <c r="K27" s="75">
        <f>1490.23*2</f>
        <v>2980.46</v>
      </c>
      <c r="L27" s="25"/>
      <c r="M27" s="25"/>
      <c r="N27" s="25"/>
      <c r="O27" s="25"/>
      <c r="P27" s="25"/>
      <c r="Q27" s="131"/>
      <c r="R27" s="25"/>
      <c r="S27" s="25"/>
      <c r="T27" s="25"/>
      <c r="U27" s="25"/>
      <c r="V27" s="25"/>
      <c r="W27" s="121">
        <f t="shared" si="4"/>
        <v>29233.910000000003</v>
      </c>
      <c r="X27" s="1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3">
        <f t="shared" si="2"/>
        <v>0</v>
      </c>
      <c r="AK27" s="107">
        <f t="shared" si="3"/>
        <v>29233.910000000003</v>
      </c>
    </row>
    <row r="28" spans="1:37" x14ac:dyDescent="0.2">
      <c r="A28" s="95">
        <f t="shared" si="0"/>
        <v>26</v>
      </c>
      <c r="B28" s="21">
        <v>26</v>
      </c>
      <c r="C28" s="81" t="s">
        <v>154</v>
      </c>
      <c r="D28" s="46" t="s">
        <v>172</v>
      </c>
      <c r="E28" s="29">
        <v>41456</v>
      </c>
      <c r="F28" s="28">
        <v>1</v>
      </c>
      <c r="G28" s="37">
        <v>12</v>
      </c>
      <c r="H28" s="37">
        <f>G28-F28+1</f>
        <v>12</v>
      </c>
      <c r="I28" s="139">
        <f t="shared" si="1"/>
        <v>21482.760000000002</v>
      </c>
      <c r="J28" s="143">
        <f>'2013'!Q28</f>
        <v>10731.61</v>
      </c>
      <c r="K28" s="75"/>
      <c r="L28" s="25"/>
      <c r="M28" s="25"/>
      <c r="N28" s="25"/>
      <c r="O28" s="25"/>
      <c r="P28" s="25"/>
      <c r="Q28" s="131"/>
      <c r="R28" s="25"/>
      <c r="S28" s="25"/>
      <c r="T28" s="25"/>
      <c r="U28" s="25"/>
      <c r="V28" s="25"/>
      <c r="W28" s="121">
        <f t="shared" si="4"/>
        <v>32214.370000000003</v>
      </c>
      <c r="X28" s="1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3">
        <f t="shared" si="2"/>
        <v>0</v>
      </c>
      <c r="AK28" s="107">
        <f t="shared" si="3"/>
        <v>32214.370000000003</v>
      </c>
    </row>
    <row r="29" spans="1:37" x14ac:dyDescent="0.2">
      <c r="A29" s="95">
        <f t="shared" si="0"/>
        <v>27</v>
      </c>
      <c r="B29" s="21">
        <v>27</v>
      </c>
      <c r="C29" s="86" t="s">
        <v>95</v>
      </c>
      <c r="D29" s="47" t="s">
        <v>161</v>
      </c>
      <c r="E29" s="29">
        <v>41470</v>
      </c>
      <c r="F29" s="28">
        <v>1</v>
      </c>
      <c r="G29" s="37">
        <v>12</v>
      </c>
      <c r="H29" s="37">
        <f>G29-F29+1</f>
        <v>12</v>
      </c>
      <c r="I29" s="139">
        <f t="shared" si="1"/>
        <v>21482.760000000002</v>
      </c>
      <c r="J29" s="143">
        <f>'2013'!Q29</f>
        <v>300</v>
      </c>
      <c r="K29" s="75"/>
      <c r="L29" s="25"/>
      <c r="M29" s="25"/>
      <c r="N29" s="25"/>
      <c r="O29" s="25"/>
      <c r="P29" s="25"/>
      <c r="Q29" s="131"/>
      <c r="R29" s="25"/>
      <c r="S29" s="25"/>
      <c r="T29" s="25"/>
      <c r="U29" s="25"/>
      <c r="V29" s="25"/>
      <c r="W29" s="121">
        <f t="shared" si="4"/>
        <v>21782.760000000002</v>
      </c>
      <c r="X29" s="1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3">
        <f t="shared" si="2"/>
        <v>0</v>
      </c>
      <c r="AK29" s="107">
        <f t="shared" si="3"/>
        <v>21782.760000000002</v>
      </c>
    </row>
    <row r="30" spans="1:37" x14ac:dyDescent="0.2">
      <c r="A30" s="95">
        <f t="shared" si="0"/>
        <v>28</v>
      </c>
      <c r="B30" s="21">
        <v>28</v>
      </c>
      <c r="C30" s="98" t="s">
        <v>210</v>
      </c>
      <c r="D30" s="50"/>
      <c r="E30" s="51"/>
      <c r="F30" s="28">
        <v>1</v>
      </c>
      <c r="G30" s="37">
        <v>12</v>
      </c>
      <c r="H30" s="37">
        <f>SUM(G30-F30)+1</f>
        <v>12</v>
      </c>
      <c r="I30" s="139">
        <f t="shared" si="1"/>
        <v>21482.760000000002</v>
      </c>
      <c r="J30" s="143">
        <f>'2013'!Q30</f>
        <v>300.00000000000182</v>
      </c>
      <c r="K30" s="75">
        <v>1490.23</v>
      </c>
      <c r="L30" s="75"/>
      <c r="M30" s="25"/>
      <c r="N30" s="25"/>
      <c r="O30" s="25"/>
      <c r="P30" s="25"/>
      <c r="Q30" s="131"/>
      <c r="R30" s="25"/>
      <c r="S30" s="75"/>
      <c r="T30" s="25"/>
      <c r="U30" s="25"/>
      <c r="V30" s="25"/>
      <c r="W30" s="121">
        <f t="shared" si="4"/>
        <v>20292.530000000002</v>
      </c>
      <c r="X30" s="1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3">
        <f t="shared" si="2"/>
        <v>0</v>
      </c>
      <c r="AK30" s="107">
        <f t="shared" si="3"/>
        <v>20292.530000000002</v>
      </c>
    </row>
    <row r="31" spans="1:37" hidden="1" x14ac:dyDescent="0.2">
      <c r="A31" s="95">
        <f t="shared" si="0"/>
        <v>29</v>
      </c>
      <c r="B31" s="21">
        <v>29</v>
      </c>
      <c r="C31" s="108"/>
      <c r="D31" s="109"/>
      <c r="E31" s="110"/>
      <c r="F31" s="18"/>
      <c r="G31" s="14"/>
      <c r="H31" s="2"/>
      <c r="I31" s="139">
        <f t="shared" si="1"/>
        <v>0</v>
      </c>
      <c r="J31" s="143">
        <f>'2013'!Q31</f>
        <v>0</v>
      </c>
      <c r="K31" s="7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121">
        <f t="shared" si="4"/>
        <v>0</v>
      </c>
      <c r="X31" s="1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3">
        <f t="shared" si="2"/>
        <v>0</v>
      </c>
      <c r="AK31" s="33">
        <f t="shared" si="3"/>
        <v>0</v>
      </c>
    </row>
    <row r="32" spans="1:37" x14ac:dyDescent="0.2">
      <c r="A32" s="95">
        <f t="shared" si="0"/>
        <v>30</v>
      </c>
      <c r="B32" s="21">
        <v>30</v>
      </c>
      <c r="C32" s="84" t="s">
        <v>215</v>
      </c>
      <c r="D32" s="46" t="s">
        <v>240</v>
      </c>
      <c r="E32" s="29">
        <v>41566</v>
      </c>
      <c r="F32" s="28">
        <v>1</v>
      </c>
      <c r="G32" s="37">
        <v>12</v>
      </c>
      <c r="H32" s="37">
        <f>G32-F32+1</f>
        <v>12</v>
      </c>
      <c r="I32" s="139">
        <f t="shared" si="1"/>
        <v>21482.760000000002</v>
      </c>
      <c r="J32" s="143">
        <f>'2013'!Q32</f>
        <v>3280.46</v>
      </c>
      <c r="K32" s="75"/>
      <c r="L32" s="25"/>
      <c r="M32" s="25"/>
      <c r="N32" s="25"/>
      <c r="O32" s="25"/>
      <c r="P32" s="25"/>
      <c r="Q32" s="131"/>
      <c r="R32" s="25"/>
      <c r="S32" s="25"/>
      <c r="T32" s="25"/>
      <c r="U32" s="25"/>
      <c r="V32" s="25"/>
      <c r="W32" s="121">
        <f t="shared" si="4"/>
        <v>24763.22</v>
      </c>
      <c r="X32" s="1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3">
        <f t="shared" si="2"/>
        <v>0</v>
      </c>
      <c r="AK32" s="107">
        <f t="shared" si="3"/>
        <v>24763.22</v>
      </c>
    </row>
    <row r="33" spans="1:37" x14ac:dyDescent="0.2">
      <c r="A33" s="94">
        <f t="shared" si="0"/>
        <v>31</v>
      </c>
      <c r="B33" s="21">
        <v>31</v>
      </c>
      <c r="C33" s="112" t="s">
        <v>216</v>
      </c>
      <c r="D33" s="109"/>
      <c r="E33" s="110"/>
      <c r="F33" s="28">
        <v>1</v>
      </c>
      <c r="G33" s="37">
        <v>12</v>
      </c>
      <c r="H33" s="37">
        <f t="shared" ref="H33:H45" si="6">SUM(G33-F33)+1</f>
        <v>12</v>
      </c>
      <c r="I33" s="139">
        <f t="shared" si="1"/>
        <v>21482.760000000002</v>
      </c>
      <c r="J33" s="143">
        <f>'2013'!Q33</f>
        <v>3280.46</v>
      </c>
      <c r="K33" s="75">
        <v>4800</v>
      </c>
      <c r="L33" s="25"/>
      <c r="M33" s="25"/>
      <c r="N33" s="25"/>
      <c r="O33" s="25"/>
      <c r="P33" s="25"/>
      <c r="Q33" s="131"/>
      <c r="R33" s="25"/>
      <c r="S33" s="25"/>
      <c r="T33" s="25"/>
      <c r="U33" s="25"/>
      <c r="V33" s="25"/>
      <c r="W33" s="121">
        <f t="shared" si="4"/>
        <v>19963.22</v>
      </c>
      <c r="X33" s="1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3">
        <f t="shared" si="2"/>
        <v>0</v>
      </c>
      <c r="AK33" s="107">
        <f t="shared" si="3"/>
        <v>19963.22</v>
      </c>
    </row>
    <row r="34" spans="1:37" x14ac:dyDescent="0.2">
      <c r="A34" s="95">
        <f t="shared" si="0"/>
        <v>32</v>
      </c>
      <c r="B34" s="21">
        <v>32</v>
      </c>
      <c r="C34" s="85" t="s">
        <v>213</v>
      </c>
      <c r="D34" s="46" t="s">
        <v>266</v>
      </c>
      <c r="E34" s="29">
        <v>41481</v>
      </c>
      <c r="F34" s="28">
        <v>1</v>
      </c>
      <c r="G34" s="37">
        <v>12</v>
      </c>
      <c r="H34" s="37">
        <f t="shared" si="6"/>
        <v>12</v>
      </c>
      <c r="I34" s="139">
        <f t="shared" si="1"/>
        <v>21482.760000000002</v>
      </c>
      <c r="J34" s="143">
        <f>'2013'!Q34</f>
        <v>300</v>
      </c>
      <c r="K34" s="24">
        <v>2090.23</v>
      </c>
      <c r="L34" s="25"/>
      <c r="M34" s="25"/>
      <c r="N34" s="25"/>
      <c r="O34" s="25"/>
      <c r="P34" s="25"/>
      <c r="Q34" s="131"/>
      <c r="R34" s="25"/>
      <c r="S34" s="25"/>
      <c r="T34" s="25"/>
      <c r="U34" s="25"/>
      <c r="V34" s="25"/>
      <c r="W34" s="121">
        <f t="shared" si="4"/>
        <v>19692.530000000002</v>
      </c>
      <c r="X34" s="1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3">
        <f t="shared" si="2"/>
        <v>0</v>
      </c>
      <c r="AK34" s="107">
        <f t="shared" si="3"/>
        <v>19692.530000000002</v>
      </c>
    </row>
    <row r="35" spans="1:37" x14ac:dyDescent="0.2">
      <c r="A35" s="95">
        <f t="shared" si="0"/>
        <v>33</v>
      </c>
      <c r="B35" s="21">
        <v>33</v>
      </c>
      <c r="C35" s="111" t="s">
        <v>155</v>
      </c>
      <c r="D35" s="50"/>
      <c r="E35" s="51"/>
      <c r="F35" s="28">
        <v>1</v>
      </c>
      <c r="G35" s="37">
        <v>12</v>
      </c>
      <c r="H35" s="37">
        <f t="shared" si="6"/>
        <v>12</v>
      </c>
      <c r="I35" s="139">
        <f t="shared" si="1"/>
        <v>21482.760000000002</v>
      </c>
      <c r="J35" s="143">
        <f>'2013'!Q35</f>
        <v>10731.61</v>
      </c>
      <c r="K35" s="75"/>
      <c r="L35" s="25"/>
      <c r="M35" s="25"/>
      <c r="N35" s="25"/>
      <c r="O35" s="25"/>
      <c r="P35" s="25"/>
      <c r="Q35" s="131"/>
      <c r="R35" s="25"/>
      <c r="S35" s="25"/>
      <c r="T35" s="25"/>
      <c r="U35" s="25"/>
      <c r="V35" s="25"/>
      <c r="W35" s="121">
        <f t="shared" si="4"/>
        <v>32214.370000000003</v>
      </c>
      <c r="X35" s="1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3">
        <f t="shared" ref="AJ35:AJ66" si="7">SUM(X35:AI35)</f>
        <v>0</v>
      </c>
      <c r="AK35" s="107">
        <f t="shared" si="3"/>
        <v>32214.370000000003</v>
      </c>
    </row>
    <row r="36" spans="1:37" x14ac:dyDescent="0.2">
      <c r="A36" s="95">
        <f t="shared" si="0"/>
        <v>34</v>
      </c>
      <c r="B36" s="21">
        <v>34</v>
      </c>
      <c r="C36" s="112" t="s">
        <v>247</v>
      </c>
      <c r="D36" s="109"/>
      <c r="E36" s="110"/>
      <c r="F36" s="28">
        <v>1</v>
      </c>
      <c r="G36" s="14">
        <v>12</v>
      </c>
      <c r="H36" s="37">
        <f t="shared" si="6"/>
        <v>12</v>
      </c>
      <c r="I36" s="139">
        <f t="shared" si="1"/>
        <v>21482.760000000002</v>
      </c>
      <c r="J36" s="143">
        <f>'2013'!Q36</f>
        <v>0</v>
      </c>
      <c r="K36" s="75"/>
      <c r="L36" s="75"/>
      <c r="M36" s="25"/>
      <c r="N36" s="25"/>
      <c r="O36" s="25"/>
      <c r="P36" s="25"/>
      <c r="Q36" s="131"/>
      <c r="R36" s="25"/>
      <c r="S36" s="75"/>
      <c r="T36" s="25"/>
      <c r="U36" s="25"/>
      <c r="V36" s="25"/>
      <c r="W36" s="121">
        <f t="shared" si="4"/>
        <v>21482.760000000002</v>
      </c>
      <c r="X36" s="1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3">
        <f t="shared" si="7"/>
        <v>0</v>
      </c>
      <c r="AK36" s="33">
        <f t="shared" si="3"/>
        <v>21482.760000000002</v>
      </c>
    </row>
    <row r="37" spans="1:37" x14ac:dyDescent="0.2">
      <c r="A37" s="95">
        <f t="shared" si="0"/>
        <v>35</v>
      </c>
      <c r="B37" s="21">
        <v>35</v>
      </c>
      <c r="C37" s="81" t="s">
        <v>156</v>
      </c>
      <c r="D37" s="46" t="s">
        <v>267</v>
      </c>
      <c r="E37" s="29">
        <v>41483</v>
      </c>
      <c r="F37" s="28">
        <v>1</v>
      </c>
      <c r="G37" s="37">
        <v>12</v>
      </c>
      <c r="H37" s="37">
        <f t="shared" si="6"/>
        <v>12</v>
      </c>
      <c r="I37" s="139">
        <f t="shared" si="1"/>
        <v>21482.760000000002</v>
      </c>
      <c r="J37" s="143">
        <f>'2013'!Q37</f>
        <v>-2248.8500000000004</v>
      </c>
      <c r="K37" s="75"/>
      <c r="L37" s="25"/>
      <c r="M37" s="25"/>
      <c r="N37" s="25"/>
      <c r="O37" s="25"/>
      <c r="P37" s="25"/>
      <c r="Q37" s="131"/>
      <c r="R37" s="25"/>
      <c r="S37" s="25"/>
      <c r="T37" s="25"/>
      <c r="U37" s="25"/>
      <c r="V37" s="25"/>
      <c r="W37" s="121">
        <f t="shared" si="4"/>
        <v>19233.910000000003</v>
      </c>
      <c r="X37" s="1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3">
        <f t="shared" si="7"/>
        <v>0</v>
      </c>
      <c r="AK37" s="107">
        <f t="shared" si="3"/>
        <v>19233.910000000003</v>
      </c>
    </row>
    <row r="38" spans="1:37" x14ac:dyDescent="0.2">
      <c r="A38" s="95">
        <f t="shared" si="0"/>
        <v>36</v>
      </c>
      <c r="B38" s="21">
        <v>36</v>
      </c>
      <c r="C38" s="81" t="s">
        <v>157</v>
      </c>
      <c r="D38" s="46" t="s">
        <v>187</v>
      </c>
      <c r="E38" s="29">
        <v>41481</v>
      </c>
      <c r="F38" s="28">
        <v>1</v>
      </c>
      <c r="G38" s="37">
        <v>12</v>
      </c>
      <c r="H38" s="37">
        <f t="shared" si="6"/>
        <v>12</v>
      </c>
      <c r="I38" s="139">
        <f t="shared" si="1"/>
        <v>21482.760000000002</v>
      </c>
      <c r="J38" s="143">
        <f>'2013'!Q38</f>
        <v>-200.78999999999905</v>
      </c>
      <c r="K38" s="75"/>
      <c r="L38" s="25"/>
      <c r="M38" s="25"/>
      <c r="N38" s="25"/>
      <c r="O38" s="25"/>
      <c r="P38" s="25"/>
      <c r="Q38" s="131"/>
      <c r="R38" s="25"/>
      <c r="S38" s="25"/>
      <c r="T38" s="25"/>
      <c r="U38" s="25"/>
      <c r="V38" s="25"/>
      <c r="W38" s="121">
        <f t="shared" si="4"/>
        <v>21281.97</v>
      </c>
      <c r="X38" s="1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3">
        <f t="shared" si="7"/>
        <v>0</v>
      </c>
      <c r="AK38" s="107">
        <f t="shared" si="3"/>
        <v>21281.97</v>
      </c>
    </row>
    <row r="39" spans="1:37" x14ac:dyDescent="0.2">
      <c r="A39" s="95">
        <f t="shared" si="0"/>
        <v>37</v>
      </c>
      <c r="B39" s="21">
        <v>37</v>
      </c>
      <c r="C39" s="81" t="s">
        <v>158</v>
      </c>
      <c r="D39" s="46" t="s">
        <v>259</v>
      </c>
      <c r="E39" s="29">
        <v>41426</v>
      </c>
      <c r="F39" s="28">
        <v>1</v>
      </c>
      <c r="G39" s="37">
        <v>12</v>
      </c>
      <c r="H39" s="37">
        <f t="shared" si="6"/>
        <v>12</v>
      </c>
      <c r="I39" s="139">
        <f t="shared" si="1"/>
        <v>21482.760000000002</v>
      </c>
      <c r="J39" s="143">
        <f>'2013'!Q39</f>
        <v>1.0000000002037268E-2</v>
      </c>
      <c r="K39" s="75"/>
      <c r="L39" s="25"/>
      <c r="M39" s="25"/>
      <c r="N39" s="25"/>
      <c r="O39" s="25"/>
      <c r="P39" s="25"/>
      <c r="Q39" s="131"/>
      <c r="R39" s="25"/>
      <c r="S39" s="25"/>
      <c r="T39" s="25"/>
      <c r="U39" s="25"/>
      <c r="V39" s="25"/>
      <c r="W39" s="121">
        <f t="shared" si="4"/>
        <v>21482.770000000004</v>
      </c>
      <c r="X39" s="1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3">
        <f t="shared" si="7"/>
        <v>0</v>
      </c>
      <c r="AK39" s="107">
        <f t="shared" si="3"/>
        <v>21482.770000000004</v>
      </c>
    </row>
    <row r="40" spans="1:37" x14ac:dyDescent="0.2">
      <c r="A40" s="95">
        <f t="shared" si="0"/>
        <v>38</v>
      </c>
      <c r="B40" s="21">
        <v>38</v>
      </c>
      <c r="C40" s="82" t="s">
        <v>32</v>
      </c>
      <c r="D40" s="8" t="s">
        <v>58</v>
      </c>
      <c r="E40" s="29">
        <v>41444</v>
      </c>
      <c r="F40" s="28">
        <v>1</v>
      </c>
      <c r="G40" s="37">
        <v>12</v>
      </c>
      <c r="H40" s="37">
        <f t="shared" si="6"/>
        <v>12</v>
      </c>
      <c r="I40" s="139">
        <f t="shared" si="1"/>
        <v>21482.760000000002</v>
      </c>
      <c r="J40" s="143">
        <f>'2013'!Q40</f>
        <v>-1789.7699999999986</v>
      </c>
      <c r="K40" s="24"/>
      <c r="L40" s="25"/>
      <c r="M40" s="25"/>
      <c r="N40" s="25"/>
      <c r="O40" s="25"/>
      <c r="P40" s="25"/>
      <c r="Q40" s="131"/>
      <c r="R40" s="25"/>
      <c r="S40" s="25"/>
      <c r="T40" s="25"/>
      <c r="U40" s="25"/>
      <c r="V40" s="25"/>
      <c r="W40" s="121">
        <f t="shared" si="4"/>
        <v>19692.990000000005</v>
      </c>
      <c r="X40" s="1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3">
        <f t="shared" si="7"/>
        <v>0</v>
      </c>
      <c r="AK40" s="107">
        <f t="shared" si="3"/>
        <v>19692.990000000005</v>
      </c>
    </row>
    <row r="41" spans="1:37" x14ac:dyDescent="0.2">
      <c r="A41" s="95">
        <f t="shared" si="0"/>
        <v>39</v>
      </c>
      <c r="B41" s="21">
        <v>39</v>
      </c>
      <c r="C41" s="81" t="s">
        <v>104</v>
      </c>
      <c r="D41" s="46" t="s">
        <v>237</v>
      </c>
      <c r="E41" s="29">
        <v>41540</v>
      </c>
      <c r="F41" s="28">
        <v>1</v>
      </c>
      <c r="G41" s="37">
        <v>12</v>
      </c>
      <c r="H41" s="37">
        <f t="shared" si="6"/>
        <v>12</v>
      </c>
      <c r="I41" s="139">
        <f t="shared" si="1"/>
        <v>21482.760000000002</v>
      </c>
      <c r="J41" s="143">
        <f>'2013'!Q41</f>
        <v>3280.46</v>
      </c>
      <c r="K41" s="75">
        <v>1490.23</v>
      </c>
      <c r="L41" s="25"/>
      <c r="M41" s="25"/>
      <c r="N41" s="25"/>
      <c r="O41" s="25"/>
      <c r="P41" s="25"/>
      <c r="Q41" s="131"/>
      <c r="R41" s="25"/>
      <c r="S41" s="25"/>
      <c r="T41" s="25"/>
      <c r="U41" s="25"/>
      <c r="V41" s="25"/>
      <c r="W41" s="121">
        <f t="shared" si="4"/>
        <v>23272.99</v>
      </c>
      <c r="X41" s="1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3">
        <f t="shared" si="7"/>
        <v>0</v>
      </c>
      <c r="AK41" s="107">
        <f t="shared" si="3"/>
        <v>23272.99</v>
      </c>
    </row>
    <row r="42" spans="1:37" x14ac:dyDescent="0.2">
      <c r="A42" s="95">
        <f t="shared" si="0"/>
        <v>40</v>
      </c>
      <c r="B42" s="21">
        <v>40</v>
      </c>
      <c r="C42" s="98" t="s">
        <v>277</v>
      </c>
      <c r="D42" s="50"/>
      <c r="E42" s="51"/>
      <c r="F42" s="28">
        <v>1</v>
      </c>
      <c r="G42" s="37">
        <v>12</v>
      </c>
      <c r="H42" s="37">
        <f t="shared" si="6"/>
        <v>12</v>
      </c>
      <c r="I42" s="139">
        <f t="shared" si="1"/>
        <v>21482.760000000002</v>
      </c>
      <c r="J42" s="143">
        <f>'2013'!Q42</f>
        <v>0</v>
      </c>
      <c r="K42" s="75"/>
      <c r="L42" s="25"/>
      <c r="M42" s="25"/>
      <c r="N42" s="25"/>
      <c r="O42" s="25"/>
      <c r="P42" s="25"/>
      <c r="Q42" s="131"/>
      <c r="R42" s="25"/>
      <c r="S42" s="25"/>
      <c r="T42" s="25"/>
      <c r="U42" s="25"/>
      <c r="V42" s="25"/>
      <c r="W42" s="121">
        <f t="shared" si="4"/>
        <v>21482.760000000002</v>
      </c>
      <c r="X42" s="1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3">
        <f t="shared" si="7"/>
        <v>0</v>
      </c>
      <c r="AK42" s="107">
        <f t="shared" si="3"/>
        <v>21482.760000000002</v>
      </c>
    </row>
    <row r="43" spans="1:37" x14ac:dyDescent="0.2">
      <c r="A43" s="94">
        <f t="shared" si="0"/>
        <v>41</v>
      </c>
      <c r="B43" s="21">
        <v>41</v>
      </c>
      <c r="C43" s="111" t="s">
        <v>106</v>
      </c>
      <c r="D43" s="50"/>
      <c r="E43" s="51"/>
      <c r="F43" s="26">
        <v>1</v>
      </c>
      <c r="G43" s="27">
        <v>12</v>
      </c>
      <c r="H43" s="37">
        <f t="shared" si="6"/>
        <v>12</v>
      </c>
      <c r="I43" s="139">
        <f t="shared" si="1"/>
        <v>21482.760000000002</v>
      </c>
      <c r="J43" s="143">
        <f>'2013'!Q43</f>
        <v>10731.61</v>
      </c>
      <c r="K43" s="75"/>
      <c r="L43" s="25"/>
      <c r="M43" s="25"/>
      <c r="N43" s="25"/>
      <c r="O43" s="25"/>
      <c r="P43" s="25"/>
      <c r="Q43" s="131"/>
      <c r="R43" s="25"/>
      <c r="S43" s="25"/>
      <c r="T43" s="25"/>
      <c r="U43" s="25"/>
      <c r="V43" s="25"/>
      <c r="W43" s="121">
        <f t="shared" si="4"/>
        <v>32214.370000000003</v>
      </c>
      <c r="X43" s="1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3">
        <f t="shared" si="7"/>
        <v>0</v>
      </c>
      <c r="AK43" s="107">
        <f t="shared" si="3"/>
        <v>32214.370000000003</v>
      </c>
    </row>
    <row r="44" spans="1:37" x14ac:dyDescent="0.2">
      <c r="A44" s="95">
        <f t="shared" si="0"/>
        <v>42</v>
      </c>
      <c r="B44" s="21">
        <v>42</v>
      </c>
      <c r="C44" s="86" t="s">
        <v>94</v>
      </c>
      <c r="D44" s="44" t="s">
        <v>182</v>
      </c>
      <c r="E44" s="45">
        <v>41477</v>
      </c>
      <c r="F44" s="28">
        <v>1</v>
      </c>
      <c r="G44" s="37">
        <v>12</v>
      </c>
      <c r="H44" s="37">
        <f t="shared" si="6"/>
        <v>12</v>
      </c>
      <c r="I44" s="139">
        <f t="shared" si="1"/>
        <v>21482.760000000002</v>
      </c>
      <c r="J44" s="143">
        <f>'2013'!Q44</f>
        <v>0</v>
      </c>
      <c r="K44" s="75">
        <v>1490.23</v>
      </c>
      <c r="L44" s="25"/>
      <c r="M44" s="25"/>
      <c r="N44" s="25"/>
      <c r="O44" s="25"/>
      <c r="P44" s="25"/>
      <c r="Q44" s="131"/>
      <c r="R44" s="25"/>
      <c r="S44" s="25"/>
      <c r="T44" s="25"/>
      <c r="U44" s="25"/>
      <c r="V44" s="25"/>
      <c r="W44" s="121">
        <f t="shared" si="4"/>
        <v>19992.530000000002</v>
      </c>
      <c r="X44" s="1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3">
        <f t="shared" si="7"/>
        <v>0</v>
      </c>
      <c r="AK44" s="107">
        <f t="shared" si="3"/>
        <v>19992.530000000002</v>
      </c>
    </row>
    <row r="45" spans="1:37" x14ac:dyDescent="0.2">
      <c r="A45" s="95">
        <f t="shared" si="0"/>
        <v>43</v>
      </c>
      <c r="B45" s="21">
        <v>43</v>
      </c>
      <c r="C45" s="81" t="s">
        <v>107</v>
      </c>
      <c r="D45" s="46" t="s">
        <v>178</v>
      </c>
      <c r="E45" s="29">
        <v>41451</v>
      </c>
      <c r="F45" s="28">
        <v>1</v>
      </c>
      <c r="G45" s="37">
        <v>12</v>
      </c>
      <c r="H45" s="37">
        <f t="shared" si="6"/>
        <v>12</v>
      </c>
      <c r="I45" s="139">
        <f t="shared" si="1"/>
        <v>21482.760000000002</v>
      </c>
      <c r="J45" s="143">
        <f>'2013'!Q45</f>
        <v>10731.61</v>
      </c>
      <c r="K45" s="75"/>
      <c r="L45" s="25"/>
      <c r="M45" s="25"/>
      <c r="N45" s="25"/>
      <c r="O45" s="25"/>
      <c r="P45" s="25"/>
      <c r="Q45" s="131"/>
      <c r="R45" s="25"/>
      <c r="S45" s="25"/>
      <c r="T45" s="25"/>
      <c r="U45" s="25"/>
      <c r="V45" s="25"/>
      <c r="W45" s="121">
        <f t="shared" si="4"/>
        <v>32214.370000000003</v>
      </c>
      <c r="X45" s="1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3">
        <f t="shared" si="7"/>
        <v>0</v>
      </c>
      <c r="AK45" s="107">
        <f t="shared" si="3"/>
        <v>32214.370000000003</v>
      </c>
    </row>
    <row r="46" spans="1:37" hidden="1" x14ac:dyDescent="0.2">
      <c r="A46" s="95">
        <f t="shared" si="0"/>
        <v>44</v>
      </c>
      <c r="B46" s="21">
        <v>44</v>
      </c>
      <c r="C46" s="108"/>
      <c r="D46" s="109"/>
      <c r="E46" s="110"/>
      <c r="F46" s="18"/>
      <c r="G46" s="14"/>
      <c r="H46" s="2"/>
      <c r="I46" s="139">
        <f t="shared" si="1"/>
        <v>0</v>
      </c>
      <c r="J46" s="143">
        <f>'2013'!Q46</f>
        <v>0</v>
      </c>
      <c r="K46" s="7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121">
        <f t="shared" si="4"/>
        <v>0</v>
      </c>
      <c r="X46" s="1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3">
        <f t="shared" si="7"/>
        <v>0</v>
      </c>
      <c r="AK46" s="33">
        <f t="shared" si="3"/>
        <v>0</v>
      </c>
    </row>
    <row r="47" spans="1:37" x14ac:dyDescent="0.2">
      <c r="A47" s="95">
        <f t="shared" si="0"/>
        <v>45</v>
      </c>
      <c r="B47" s="21">
        <v>45</v>
      </c>
      <c r="C47" s="81" t="s">
        <v>108</v>
      </c>
      <c r="D47" s="46" t="s">
        <v>262</v>
      </c>
      <c r="E47" s="29">
        <v>41426</v>
      </c>
      <c r="F47" s="28">
        <v>1</v>
      </c>
      <c r="G47" s="37">
        <v>12</v>
      </c>
      <c r="H47" s="37">
        <f>SUM(G47-F47)+1</f>
        <v>12</v>
      </c>
      <c r="I47" s="139">
        <f t="shared" si="1"/>
        <v>21482.760000000002</v>
      </c>
      <c r="J47" s="143">
        <f>'2013'!Q47</f>
        <v>10731.61</v>
      </c>
      <c r="K47" s="75"/>
      <c r="L47" s="25"/>
      <c r="M47" s="25"/>
      <c r="N47" s="25"/>
      <c r="O47" s="25"/>
      <c r="P47" s="25"/>
      <c r="Q47" s="131"/>
      <c r="R47" s="25"/>
      <c r="S47" s="25"/>
      <c r="T47" s="25"/>
      <c r="U47" s="25"/>
      <c r="V47" s="25"/>
      <c r="W47" s="121">
        <f t="shared" si="4"/>
        <v>32214.370000000003</v>
      </c>
      <c r="X47" s="1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3">
        <f t="shared" si="7"/>
        <v>0</v>
      </c>
      <c r="AK47" s="107">
        <f t="shared" si="3"/>
        <v>32214.370000000003</v>
      </c>
    </row>
    <row r="48" spans="1:37" hidden="1" x14ac:dyDescent="0.2">
      <c r="A48" s="95">
        <f t="shared" si="0"/>
        <v>46</v>
      </c>
      <c r="B48" s="21">
        <v>46</v>
      </c>
      <c r="C48" s="108"/>
      <c r="D48" s="109"/>
      <c r="E48" s="110"/>
      <c r="F48" s="18"/>
      <c r="G48" s="14"/>
      <c r="H48" s="2"/>
      <c r="I48" s="139">
        <f t="shared" si="1"/>
        <v>0</v>
      </c>
      <c r="J48" s="143">
        <f>'2013'!Q48</f>
        <v>0</v>
      </c>
      <c r="K48" s="7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121">
        <f t="shared" si="4"/>
        <v>0</v>
      </c>
      <c r="X48" s="1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3">
        <f t="shared" si="7"/>
        <v>0</v>
      </c>
      <c r="AK48" s="33">
        <f t="shared" si="3"/>
        <v>0</v>
      </c>
    </row>
    <row r="49" spans="1:37" x14ac:dyDescent="0.2">
      <c r="A49" s="95">
        <f t="shared" si="0"/>
        <v>47</v>
      </c>
      <c r="B49" s="21">
        <v>47</v>
      </c>
      <c r="C49" s="112" t="s">
        <v>217</v>
      </c>
      <c r="D49" s="109"/>
      <c r="E49" s="110"/>
      <c r="F49" s="28">
        <v>1</v>
      </c>
      <c r="G49" s="37">
        <v>12</v>
      </c>
      <c r="H49" s="37">
        <f>SUM(G49-F49)+1</f>
        <v>12</v>
      </c>
      <c r="I49" s="139">
        <f t="shared" si="1"/>
        <v>21482.760000000002</v>
      </c>
      <c r="J49" s="143">
        <f>'2013'!Q49</f>
        <v>3280.46</v>
      </c>
      <c r="K49" s="24">
        <f>1490.23+1700+1900</f>
        <v>5090.2299999999996</v>
      </c>
      <c r="L49" s="25"/>
      <c r="M49" s="25"/>
      <c r="N49" s="25"/>
      <c r="O49" s="25"/>
      <c r="P49" s="25"/>
      <c r="Q49" s="131"/>
      <c r="R49" s="25"/>
      <c r="S49" s="25"/>
      <c r="T49" s="25"/>
      <c r="U49" s="25"/>
      <c r="V49" s="25"/>
      <c r="W49" s="121">
        <f t="shared" si="4"/>
        <v>19672.990000000002</v>
      </c>
      <c r="X49" s="1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3">
        <f t="shared" si="7"/>
        <v>0</v>
      </c>
      <c r="AK49" s="107">
        <f t="shared" si="3"/>
        <v>19672.990000000002</v>
      </c>
    </row>
    <row r="50" spans="1:37" x14ac:dyDescent="0.2">
      <c r="A50" s="95">
        <f t="shared" si="0"/>
        <v>48</v>
      </c>
      <c r="B50" s="21">
        <v>48</v>
      </c>
      <c r="C50" s="112" t="s">
        <v>268</v>
      </c>
      <c r="D50" s="109"/>
      <c r="E50" s="110"/>
      <c r="F50" s="28">
        <v>1</v>
      </c>
      <c r="G50" s="14">
        <v>12</v>
      </c>
      <c r="H50" s="37">
        <f>SUM(G50-F50)+1</f>
        <v>12</v>
      </c>
      <c r="I50" s="139">
        <f t="shared" si="1"/>
        <v>21482.760000000002</v>
      </c>
      <c r="J50" s="143">
        <f>'2013'!Q50</f>
        <v>0</v>
      </c>
      <c r="K50" s="7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121">
        <f t="shared" si="4"/>
        <v>21482.760000000002</v>
      </c>
      <c r="X50" s="1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3">
        <f t="shared" si="7"/>
        <v>0</v>
      </c>
      <c r="AK50" s="33">
        <f t="shared" si="3"/>
        <v>21482.760000000002</v>
      </c>
    </row>
    <row r="51" spans="1:37" x14ac:dyDescent="0.2">
      <c r="A51" s="95">
        <f t="shared" si="0"/>
        <v>49</v>
      </c>
      <c r="B51" s="21">
        <v>49</v>
      </c>
      <c r="C51" s="112" t="s">
        <v>275</v>
      </c>
      <c r="D51" s="109"/>
      <c r="E51" s="110"/>
      <c r="F51" s="18">
        <v>1</v>
      </c>
      <c r="G51" s="14">
        <v>12</v>
      </c>
      <c r="H51" s="37">
        <f>SUM(G51-F51)+1</f>
        <v>12</v>
      </c>
      <c r="I51" s="139">
        <f t="shared" si="1"/>
        <v>21482.760000000002</v>
      </c>
      <c r="J51" s="143">
        <f>'2013'!Q51</f>
        <v>0</v>
      </c>
      <c r="K51" s="7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121">
        <f t="shared" si="4"/>
        <v>21482.760000000002</v>
      </c>
      <c r="X51" s="1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3">
        <f t="shared" si="7"/>
        <v>0</v>
      </c>
      <c r="AK51" s="33">
        <f t="shared" si="3"/>
        <v>21482.760000000002</v>
      </c>
    </row>
    <row r="52" spans="1:37" hidden="1" x14ac:dyDescent="0.2">
      <c r="A52" s="95">
        <f t="shared" si="0"/>
        <v>50</v>
      </c>
      <c r="B52" s="21">
        <v>50</v>
      </c>
      <c r="C52" s="108"/>
      <c r="D52" s="109"/>
      <c r="E52" s="110"/>
      <c r="F52" s="18"/>
      <c r="G52" s="14"/>
      <c r="H52" s="2"/>
      <c r="I52" s="139">
        <f t="shared" si="1"/>
        <v>0</v>
      </c>
      <c r="J52" s="143">
        <f>'2013'!Q52</f>
        <v>0</v>
      </c>
      <c r="K52" s="7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121">
        <f t="shared" si="4"/>
        <v>0</v>
      </c>
      <c r="X52" s="1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3">
        <f t="shared" si="7"/>
        <v>0</v>
      </c>
      <c r="AK52" s="33">
        <f t="shared" si="3"/>
        <v>0</v>
      </c>
    </row>
    <row r="53" spans="1:37" x14ac:dyDescent="0.2">
      <c r="A53" s="94">
        <f t="shared" si="0"/>
        <v>51</v>
      </c>
      <c r="B53" s="22">
        <v>51</v>
      </c>
      <c r="C53" s="85" t="s">
        <v>200</v>
      </c>
      <c r="D53" s="8" t="s">
        <v>26</v>
      </c>
      <c r="E53" s="29">
        <v>41424</v>
      </c>
      <c r="F53" s="28">
        <v>1</v>
      </c>
      <c r="G53" s="37">
        <v>12</v>
      </c>
      <c r="H53" s="37">
        <f>SUM(G53-F53)+1</f>
        <v>12</v>
      </c>
      <c r="I53" s="139">
        <f t="shared" si="1"/>
        <v>21482.760000000002</v>
      </c>
      <c r="J53" s="143">
        <f>'2013'!Q53</f>
        <v>-268.38999999999942</v>
      </c>
      <c r="K53" s="75"/>
      <c r="L53" s="25"/>
      <c r="M53" s="25"/>
      <c r="N53" s="25"/>
      <c r="O53" s="25"/>
      <c r="P53" s="25"/>
      <c r="Q53" s="131"/>
      <c r="R53" s="25"/>
      <c r="S53" s="25"/>
      <c r="T53" s="25"/>
      <c r="U53" s="25"/>
      <c r="V53" s="25"/>
      <c r="W53" s="121">
        <f t="shared" si="4"/>
        <v>21214.370000000003</v>
      </c>
      <c r="X53" s="1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3">
        <f t="shared" si="7"/>
        <v>0</v>
      </c>
      <c r="AK53" s="107">
        <f t="shared" si="3"/>
        <v>21214.370000000003</v>
      </c>
    </row>
    <row r="54" spans="1:37" x14ac:dyDescent="0.2">
      <c r="A54" s="95">
        <f t="shared" si="0"/>
        <v>52</v>
      </c>
      <c r="B54" s="21">
        <v>52</v>
      </c>
      <c r="C54" s="112" t="s">
        <v>218</v>
      </c>
      <c r="D54" s="109"/>
      <c r="E54" s="110"/>
      <c r="F54" s="28">
        <v>1</v>
      </c>
      <c r="G54" s="14">
        <v>12</v>
      </c>
      <c r="H54" s="37">
        <f>SUM(G54-F54)+1</f>
        <v>12</v>
      </c>
      <c r="I54" s="139">
        <f t="shared" si="1"/>
        <v>21482.760000000002</v>
      </c>
      <c r="J54" s="143">
        <f>'2013'!Q54</f>
        <v>-5960.92</v>
      </c>
      <c r="K54" s="24"/>
      <c r="L54" s="23"/>
      <c r="M54" s="23"/>
      <c r="N54" s="25"/>
      <c r="O54" s="25"/>
      <c r="P54" s="25"/>
      <c r="Q54" s="131"/>
      <c r="R54" s="25"/>
      <c r="S54" s="25"/>
      <c r="T54" s="25"/>
      <c r="U54" s="25"/>
      <c r="V54" s="25"/>
      <c r="W54" s="121">
        <f t="shared" si="4"/>
        <v>15521.840000000002</v>
      </c>
      <c r="X54" s="1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3">
        <f t="shared" si="7"/>
        <v>0</v>
      </c>
      <c r="AK54" s="107">
        <f t="shared" si="3"/>
        <v>15521.840000000002</v>
      </c>
    </row>
    <row r="55" spans="1:37" x14ac:dyDescent="0.2">
      <c r="A55" s="95">
        <f t="shared" si="0"/>
        <v>53</v>
      </c>
      <c r="B55" s="21">
        <v>53</v>
      </c>
      <c r="C55" s="84" t="s">
        <v>246</v>
      </c>
      <c r="D55" s="46" t="s">
        <v>257</v>
      </c>
      <c r="E55" s="29">
        <v>41593</v>
      </c>
      <c r="F55" s="28">
        <v>1</v>
      </c>
      <c r="G55" s="14">
        <v>12</v>
      </c>
      <c r="H55" s="37">
        <f>SUM(G55-F55)+1</f>
        <v>12</v>
      </c>
      <c r="I55" s="139">
        <f t="shared" si="1"/>
        <v>21482.760000000002</v>
      </c>
      <c r="J55" s="143">
        <f>'2013'!Q55</f>
        <v>1480.46</v>
      </c>
      <c r="K55" s="75">
        <v>1800</v>
      </c>
      <c r="L55" s="25"/>
      <c r="M55" s="25"/>
      <c r="N55" s="25"/>
      <c r="O55" s="25"/>
      <c r="P55" s="25"/>
      <c r="Q55" s="131"/>
      <c r="R55" s="25"/>
      <c r="S55" s="25"/>
      <c r="T55" s="25"/>
      <c r="U55" s="25"/>
      <c r="V55" s="25"/>
      <c r="W55" s="121">
        <f t="shared" si="4"/>
        <v>21163.22</v>
      </c>
      <c r="X55" s="1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3">
        <f t="shared" si="7"/>
        <v>0</v>
      </c>
      <c r="AK55" s="33">
        <f t="shared" si="3"/>
        <v>21163.22</v>
      </c>
    </row>
    <row r="56" spans="1:37" x14ac:dyDescent="0.2">
      <c r="A56" s="95">
        <f t="shared" si="0"/>
        <v>54</v>
      </c>
      <c r="B56" s="21">
        <v>54</v>
      </c>
      <c r="C56" s="84" t="s">
        <v>245</v>
      </c>
      <c r="D56" s="46" t="s">
        <v>255</v>
      </c>
      <c r="E56" s="29">
        <v>41593</v>
      </c>
      <c r="F56" s="28">
        <v>1</v>
      </c>
      <c r="G56" s="14">
        <v>12</v>
      </c>
      <c r="H56" s="37">
        <f>SUM(G56-F56)+1</f>
        <v>12</v>
      </c>
      <c r="I56" s="139">
        <f t="shared" si="1"/>
        <v>21482.760000000002</v>
      </c>
      <c r="J56" s="143">
        <f>'2013'!Q56</f>
        <v>-319.53999999999996</v>
      </c>
      <c r="K56" s="24">
        <v>1800</v>
      </c>
      <c r="L56" s="25"/>
      <c r="M56" s="25"/>
      <c r="N56" s="25"/>
      <c r="O56" s="25"/>
      <c r="P56" s="25"/>
      <c r="Q56" s="131"/>
      <c r="R56" s="25"/>
      <c r="S56" s="25"/>
      <c r="T56" s="25"/>
      <c r="U56" s="25"/>
      <c r="V56" s="25"/>
      <c r="W56" s="121">
        <f t="shared" si="4"/>
        <v>19363.22</v>
      </c>
      <c r="X56" s="1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3">
        <f t="shared" si="7"/>
        <v>0</v>
      </c>
      <c r="AK56" s="33">
        <f t="shared" si="3"/>
        <v>19363.22</v>
      </c>
    </row>
    <row r="57" spans="1:37" x14ac:dyDescent="0.2">
      <c r="A57" s="95">
        <f t="shared" si="0"/>
        <v>55</v>
      </c>
      <c r="B57" s="21">
        <v>55</v>
      </c>
      <c r="C57" s="84" t="s">
        <v>244</v>
      </c>
      <c r="D57" s="46" t="s">
        <v>256</v>
      </c>
      <c r="E57" s="29">
        <v>41593</v>
      </c>
      <c r="F57" s="28">
        <v>1</v>
      </c>
      <c r="G57" s="14">
        <v>12</v>
      </c>
      <c r="H57" s="37">
        <f>SUM(G57-F57)+1</f>
        <v>12</v>
      </c>
      <c r="I57" s="139">
        <f t="shared" si="1"/>
        <v>21482.760000000002</v>
      </c>
      <c r="J57" s="143">
        <f>'2013'!Q57</f>
        <v>1490.23</v>
      </c>
      <c r="K57" s="24">
        <f>1490.23+3880.46</f>
        <v>5370.6900000000005</v>
      </c>
      <c r="L57" s="23"/>
      <c r="M57" s="25"/>
      <c r="N57" s="25"/>
      <c r="O57" s="25"/>
      <c r="P57" s="25"/>
      <c r="Q57" s="131"/>
      <c r="R57" s="25"/>
      <c r="S57" s="25"/>
      <c r="T57" s="25"/>
      <c r="U57" s="25"/>
      <c r="V57" s="25"/>
      <c r="W57" s="121">
        <f t="shared" si="4"/>
        <v>17602.300000000003</v>
      </c>
      <c r="X57" s="1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3">
        <f t="shared" si="7"/>
        <v>0</v>
      </c>
      <c r="AK57" s="33">
        <f t="shared" si="3"/>
        <v>17602.300000000003</v>
      </c>
    </row>
    <row r="58" spans="1:37" hidden="1" x14ac:dyDescent="0.2">
      <c r="A58" s="95">
        <f t="shared" si="0"/>
        <v>56</v>
      </c>
      <c r="B58" s="21">
        <v>56</v>
      </c>
      <c r="C58" s="108"/>
      <c r="D58" s="109"/>
      <c r="E58" s="110"/>
      <c r="F58" s="18"/>
      <c r="G58" s="14"/>
      <c r="H58" s="2"/>
      <c r="I58" s="139">
        <f t="shared" si="1"/>
        <v>0</v>
      </c>
      <c r="J58" s="143">
        <f>'2013'!Q58</f>
        <v>0</v>
      </c>
      <c r="K58" s="7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121">
        <f t="shared" si="4"/>
        <v>0</v>
      </c>
      <c r="X58" s="1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3">
        <f t="shared" si="7"/>
        <v>0</v>
      </c>
      <c r="AK58" s="33">
        <f t="shared" si="3"/>
        <v>0</v>
      </c>
    </row>
    <row r="59" spans="1:37" hidden="1" x14ac:dyDescent="0.2">
      <c r="A59" s="95">
        <f t="shared" si="0"/>
        <v>57</v>
      </c>
      <c r="B59" s="21">
        <v>57</v>
      </c>
      <c r="C59" s="108"/>
      <c r="D59" s="109"/>
      <c r="E59" s="110"/>
      <c r="F59" s="18"/>
      <c r="G59" s="14"/>
      <c r="H59" s="2"/>
      <c r="I59" s="139">
        <f t="shared" si="1"/>
        <v>0</v>
      </c>
      <c r="J59" s="143">
        <f>'2013'!Q59</f>
        <v>0</v>
      </c>
      <c r="K59" s="7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121">
        <f t="shared" si="4"/>
        <v>0</v>
      </c>
      <c r="X59" s="1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3">
        <f t="shared" si="7"/>
        <v>0</v>
      </c>
      <c r="AK59" s="33">
        <f t="shared" si="3"/>
        <v>0</v>
      </c>
    </row>
    <row r="60" spans="1:37" hidden="1" x14ac:dyDescent="0.2">
      <c r="A60" s="95">
        <f t="shared" si="0"/>
        <v>58</v>
      </c>
      <c r="B60" s="21">
        <v>58</v>
      </c>
      <c r="C60" s="108"/>
      <c r="D60" s="109"/>
      <c r="E60" s="110"/>
      <c r="F60" s="18"/>
      <c r="G60" s="14"/>
      <c r="H60" s="2"/>
      <c r="I60" s="139">
        <f t="shared" si="1"/>
        <v>0</v>
      </c>
      <c r="J60" s="143">
        <f>'2013'!Q60</f>
        <v>0</v>
      </c>
      <c r="K60" s="7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121">
        <f t="shared" si="4"/>
        <v>0</v>
      </c>
      <c r="X60" s="1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3">
        <f t="shared" si="7"/>
        <v>0</v>
      </c>
      <c r="AK60" s="33">
        <f t="shared" si="3"/>
        <v>0</v>
      </c>
    </row>
    <row r="61" spans="1:37" hidden="1" x14ac:dyDescent="0.2">
      <c r="A61" s="95">
        <f t="shared" si="0"/>
        <v>59</v>
      </c>
      <c r="B61" s="21">
        <v>59</v>
      </c>
      <c r="C61" s="108"/>
      <c r="D61" s="109"/>
      <c r="E61" s="110"/>
      <c r="F61" s="18"/>
      <c r="G61" s="14"/>
      <c r="H61" s="2"/>
      <c r="I61" s="139">
        <f t="shared" si="1"/>
        <v>0</v>
      </c>
      <c r="J61" s="143">
        <f>'2013'!Q61</f>
        <v>0</v>
      </c>
      <c r="K61" s="7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121">
        <f t="shared" si="4"/>
        <v>0</v>
      </c>
      <c r="X61" s="1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3">
        <f t="shared" si="7"/>
        <v>0</v>
      </c>
      <c r="AK61" s="33">
        <f t="shared" si="3"/>
        <v>0</v>
      </c>
    </row>
    <row r="62" spans="1:37" hidden="1" x14ac:dyDescent="0.2">
      <c r="A62" s="95">
        <f t="shared" si="0"/>
        <v>60</v>
      </c>
      <c r="B62" s="21">
        <v>60</v>
      </c>
      <c r="C62" s="108"/>
      <c r="D62" s="109"/>
      <c r="E62" s="110"/>
      <c r="F62" s="18"/>
      <c r="G62" s="14"/>
      <c r="H62" s="2"/>
      <c r="I62" s="139">
        <f t="shared" si="1"/>
        <v>0</v>
      </c>
      <c r="J62" s="143">
        <f>'2013'!Q62</f>
        <v>0</v>
      </c>
      <c r="K62" s="7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121">
        <f t="shared" si="4"/>
        <v>0</v>
      </c>
      <c r="X62" s="1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3">
        <f t="shared" si="7"/>
        <v>0</v>
      </c>
      <c r="AK62" s="33">
        <f t="shared" si="3"/>
        <v>0</v>
      </c>
    </row>
    <row r="63" spans="1:37" hidden="1" x14ac:dyDescent="0.2">
      <c r="A63" s="94">
        <f t="shared" si="0"/>
        <v>61</v>
      </c>
      <c r="B63" s="21">
        <v>61</v>
      </c>
      <c r="C63" s="108"/>
      <c r="D63" s="109"/>
      <c r="E63" s="110"/>
      <c r="F63" s="18"/>
      <c r="G63" s="14"/>
      <c r="H63" s="2"/>
      <c r="I63" s="139">
        <f t="shared" si="1"/>
        <v>0</v>
      </c>
      <c r="J63" s="143">
        <f>'2013'!Q63</f>
        <v>0</v>
      </c>
      <c r="K63" s="7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121">
        <f t="shared" si="4"/>
        <v>0</v>
      </c>
      <c r="X63" s="1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3">
        <f t="shared" si="7"/>
        <v>0</v>
      </c>
      <c r="AK63" s="33">
        <f t="shared" si="3"/>
        <v>0</v>
      </c>
    </row>
    <row r="64" spans="1:37" hidden="1" x14ac:dyDescent="0.2">
      <c r="A64" s="95">
        <f t="shared" si="0"/>
        <v>62</v>
      </c>
      <c r="B64" s="21">
        <v>62</v>
      </c>
      <c r="C64" s="108"/>
      <c r="D64" s="109"/>
      <c r="E64" s="110"/>
      <c r="F64" s="18"/>
      <c r="G64" s="14"/>
      <c r="H64" s="2"/>
      <c r="I64" s="139">
        <f t="shared" si="1"/>
        <v>0</v>
      </c>
      <c r="J64" s="143">
        <f>'2013'!Q64</f>
        <v>0</v>
      </c>
      <c r="K64" s="7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121">
        <f t="shared" si="4"/>
        <v>0</v>
      </c>
      <c r="X64" s="1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3">
        <f t="shared" si="7"/>
        <v>0</v>
      </c>
      <c r="AK64" s="33">
        <f t="shared" si="3"/>
        <v>0</v>
      </c>
    </row>
    <row r="65" spans="1:37" hidden="1" x14ac:dyDescent="0.2">
      <c r="A65" s="95">
        <f t="shared" si="0"/>
        <v>63</v>
      </c>
      <c r="B65" s="21">
        <v>63</v>
      </c>
      <c r="C65" s="108"/>
      <c r="D65" s="109"/>
      <c r="E65" s="110"/>
      <c r="F65" s="18"/>
      <c r="G65" s="14"/>
      <c r="H65" s="2"/>
      <c r="I65" s="139">
        <f t="shared" si="1"/>
        <v>0</v>
      </c>
      <c r="J65" s="143">
        <f>'2013'!Q65</f>
        <v>0</v>
      </c>
      <c r="K65" s="7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121">
        <f t="shared" si="4"/>
        <v>0</v>
      </c>
      <c r="X65" s="1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3">
        <f t="shared" si="7"/>
        <v>0</v>
      </c>
      <c r="AK65" s="33">
        <f t="shared" si="3"/>
        <v>0</v>
      </c>
    </row>
    <row r="66" spans="1:37" hidden="1" x14ac:dyDescent="0.2">
      <c r="A66" s="95">
        <f t="shared" si="0"/>
        <v>64</v>
      </c>
      <c r="B66" s="21">
        <v>64</v>
      </c>
      <c r="C66" s="108"/>
      <c r="D66" s="109"/>
      <c r="E66" s="110"/>
      <c r="F66" s="18"/>
      <c r="G66" s="14"/>
      <c r="H66" s="2"/>
      <c r="I66" s="139">
        <f t="shared" si="1"/>
        <v>0</v>
      </c>
      <c r="J66" s="143">
        <f>'2013'!Q66</f>
        <v>0</v>
      </c>
      <c r="K66" s="7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121">
        <f t="shared" si="4"/>
        <v>0</v>
      </c>
      <c r="X66" s="1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3">
        <f t="shared" si="7"/>
        <v>0</v>
      </c>
      <c r="AK66" s="33">
        <f t="shared" si="3"/>
        <v>0</v>
      </c>
    </row>
    <row r="67" spans="1:37" hidden="1" x14ac:dyDescent="0.2">
      <c r="A67" s="95">
        <f t="shared" ref="A67:A130" si="8">SUM(A66+1)</f>
        <v>65</v>
      </c>
      <c r="B67" s="21">
        <v>65</v>
      </c>
      <c r="C67" s="108"/>
      <c r="D67" s="109"/>
      <c r="E67" s="110"/>
      <c r="F67" s="18"/>
      <c r="G67" s="14"/>
      <c r="H67" s="2"/>
      <c r="I67" s="139">
        <f t="shared" ref="I67:I130" si="9">SUM(H67*$I$1)</f>
        <v>0</v>
      </c>
      <c r="J67" s="143">
        <f>'2013'!Q67</f>
        <v>0</v>
      </c>
      <c r="K67" s="7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121">
        <f t="shared" si="4"/>
        <v>0</v>
      </c>
      <c r="X67" s="1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3">
        <f t="shared" ref="AJ67:AJ98" si="10">SUM(X67:AI67)</f>
        <v>0</v>
      </c>
      <c r="AK67" s="33">
        <f t="shared" ref="AK67:AK130" si="11">AJ67+W67</f>
        <v>0</v>
      </c>
    </row>
    <row r="68" spans="1:37" hidden="1" x14ac:dyDescent="0.2">
      <c r="A68" s="95">
        <f t="shared" si="8"/>
        <v>66</v>
      </c>
      <c r="B68" s="21">
        <v>66</v>
      </c>
      <c r="C68" s="108"/>
      <c r="D68" s="109"/>
      <c r="E68" s="110"/>
      <c r="F68" s="18"/>
      <c r="G68" s="14"/>
      <c r="H68" s="2"/>
      <c r="I68" s="139">
        <f t="shared" si="9"/>
        <v>0</v>
      </c>
      <c r="J68" s="143">
        <f>'2013'!Q68</f>
        <v>0</v>
      </c>
      <c r="K68" s="7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121">
        <f t="shared" ref="W68:W131" si="12">I68+J68-SUM(K68:V68)</f>
        <v>0</v>
      </c>
      <c r="X68" s="1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3">
        <f t="shared" si="10"/>
        <v>0</v>
      </c>
      <c r="AK68" s="33">
        <f t="shared" si="11"/>
        <v>0</v>
      </c>
    </row>
    <row r="69" spans="1:37" hidden="1" x14ac:dyDescent="0.2">
      <c r="A69" s="95">
        <f t="shared" si="8"/>
        <v>67</v>
      </c>
      <c r="B69" s="21">
        <v>67</v>
      </c>
      <c r="C69" s="108"/>
      <c r="D69" s="109"/>
      <c r="E69" s="110"/>
      <c r="F69" s="18"/>
      <c r="G69" s="14"/>
      <c r="H69" s="2"/>
      <c r="I69" s="139">
        <f t="shared" si="9"/>
        <v>0</v>
      </c>
      <c r="J69" s="143">
        <f>'2013'!Q69</f>
        <v>0</v>
      </c>
      <c r="K69" s="7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121">
        <f t="shared" si="12"/>
        <v>0</v>
      </c>
      <c r="X69" s="1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3">
        <f t="shared" si="10"/>
        <v>0</v>
      </c>
      <c r="AK69" s="33">
        <f t="shared" si="11"/>
        <v>0</v>
      </c>
    </row>
    <row r="70" spans="1:37" hidden="1" x14ac:dyDescent="0.2">
      <c r="A70" s="95">
        <f t="shared" si="8"/>
        <v>68</v>
      </c>
      <c r="B70" s="21">
        <v>68</v>
      </c>
      <c r="C70" s="108"/>
      <c r="D70" s="109"/>
      <c r="E70" s="110"/>
      <c r="F70" s="18"/>
      <c r="G70" s="14"/>
      <c r="H70" s="2"/>
      <c r="I70" s="139">
        <f t="shared" si="9"/>
        <v>0</v>
      </c>
      <c r="J70" s="143">
        <f>'2013'!Q70</f>
        <v>0</v>
      </c>
      <c r="K70" s="7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121">
        <f t="shared" si="12"/>
        <v>0</v>
      </c>
      <c r="X70" s="1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3">
        <f t="shared" si="10"/>
        <v>0</v>
      </c>
      <c r="AK70" s="33">
        <f t="shared" si="11"/>
        <v>0</v>
      </c>
    </row>
    <row r="71" spans="1:37" hidden="1" x14ac:dyDescent="0.2">
      <c r="A71" s="95">
        <f t="shared" si="8"/>
        <v>69</v>
      </c>
      <c r="B71" s="21">
        <v>69</v>
      </c>
      <c r="C71" s="108"/>
      <c r="D71" s="109"/>
      <c r="E71" s="110"/>
      <c r="F71" s="18"/>
      <c r="G71" s="14"/>
      <c r="H71" s="2"/>
      <c r="I71" s="139">
        <f t="shared" si="9"/>
        <v>0</v>
      </c>
      <c r="J71" s="143">
        <f>'2013'!Q71</f>
        <v>0</v>
      </c>
      <c r="K71" s="7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121">
        <f t="shared" si="12"/>
        <v>0</v>
      </c>
      <c r="X71" s="1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3">
        <f t="shared" si="10"/>
        <v>0</v>
      </c>
      <c r="AK71" s="33">
        <f t="shared" si="11"/>
        <v>0</v>
      </c>
    </row>
    <row r="72" spans="1:37" hidden="1" x14ac:dyDescent="0.2">
      <c r="A72" s="95">
        <f t="shared" si="8"/>
        <v>70</v>
      </c>
      <c r="B72" s="21">
        <v>70</v>
      </c>
      <c r="C72" s="108"/>
      <c r="D72" s="109"/>
      <c r="E72" s="110"/>
      <c r="F72" s="18"/>
      <c r="G72" s="14"/>
      <c r="H72" s="2"/>
      <c r="I72" s="139">
        <f t="shared" si="9"/>
        <v>0</v>
      </c>
      <c r="J72" s="143">
        <f>'2013'!Q72</f>
        <v>0</v>
      </c>
      <c r="K72" s="7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121">
        <f t="shared" si="12"/>
        <v>0</v>
      </c>
      <c r="X72" s="1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3">
        <f t="shared" si="10"/>
        <v>0</v>
      </c>
      <c r="AK72" s="33">
        <f t="shared" si="11"/>
        <v>0</v>
      </c>
    </row>
    <row r="73" spans="1:37" hidden="1" x14ac:dyDescent="0.2">
      <c r="A73" s="94">
        <f t="shared" si="8"/>
        <v>71</v>
      </c>
      <c r="B73" s="21">
        <v>71</v>
      </c>
      <c r="C73" s="108"/>
      <c r="D73" s="109"/>
      <c r="E73" s="110"/>
      <c r="F73" s="18"/>
      <c r="G73" s="14"/>
      <c r="H73" s="2"/>
      <c r="I73" s="139">
        <f t="shared" si="9"/>
        <v>0</v>
      </c>
      <c r="J73" s="143">
        <f>'2013'!Q73</f>
        <v>0</v>
      </c>
      <c r="K73" s="7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121">
        <f t="shared" si="12"/>
        <v>0</v>
      </c>
      <c r="X73" s="1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3">
        <f t="shared" si="10"/>
        <v>0</v>
      </c>
      <c r="AK73" s="33">
        <f t="shared" si="11"/>
        <v>0</v>
      </c>
    </row>
    <row r="74" spans="1:37" hidden="1" x14ac:dyDescent="0.2">
      <c r="A74" s="95">
        <f t="shared" si="8"/>
        <v>72</v>
      </c>
      <c r="B74" s="21">
        <v>72</v>
      </c>
      <c r="C74" s="108"/>
      <c r="D74" s="109"/>
      <c r="E74" s="110"/>
      <c r="F74" s="18"/>
      <c r="G74" s="14"/>
      <c r="H74" s="2"/>
      <c r="I74" s="139">
        <f t="shared" si="9"/>
        <v>0</v>
      </c>
      <c r="J74" s="143">
        <f>'2013'!Q74</f>
        <v>0</v>
      </c>
      <c r="K74" s="7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121">
        <f t="shared" si="12"/>
        <v>0</v>
      </c>
      <c r="X74" s="1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3">
        <f t="shared" si="10"/>
        <v>0</v>
      </c>
      <c r="AK74" s="33">
        <f t="shared" si="11"/>
        <v>0</v>
      </c>
    </row>
    <row r="75" spans="1:37" hidden="1" x14ac:dyDescent="0.2">
      <c r="A75" s="95">
        <f t="shared" si="8"/>
        <v>73</v>
      </c>
      <c r="B75" s="21">
        <v>73</v>
      </c>
      <c r="C75" s="108"/>
      <c r="D75" s="109"/>
      <c r="E75" s="110"/>
      <c r="F75" s="18"/>
      <c r="G75" s="14"/>
      <c r="H75" s="2"/>
      <c r="I75" s="139">
        <f t="shared" si="9"/>
        <v>0</v>
      </c>
      <c r="J75" s="143">
        <f>'2013'!Q75</f>
        <v>0</v>
      </c>
      <c r="K75" s="7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121">
        <f t="shared" si="12"/>
        <v>0</v>
      </c>
      <c r="X75" s="1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3">
        <f t="shared" si="10"/>
        <v>0</v>
      </c>
      <c r="AK75" s="33">
        <f t="shared" si="11"/>
        <v>0</v>
      </c>
    </row>
    <row r="76" spans="1:37" hidden="1" x14ac:dyDescent="0.2">
      <c r="A76" s="95">
        <f t="shared" si="8"/>
        <v>74</v>
      </c>
      <c r="B76" s="21">
        <v>74</v>
      </c>
      <c r="C76" s="108"/>
      <c r="D76" s="109"/>
      <c r="E76" s="110"/>
      <c r="F76" s="18"/>
      <c r="G76" s="14"/>
      <c r="H76" s="2"/>
      <c r="I76" s="139">
        <f t="shared" si="9"/>
        <v>0</v>
      </c>
      <c r="J76" s="143">
        <f>'2013'!Q76</f>
        <v>0</v>
      </c>
      <c r="K76" s="7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121">
        <f t="shared" si="12"/>
        <v>0</v>
      </c>
      <c r="X76" s="1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3">
        <f t="shared" si="10"/>
        <v>0</v>
      </c>
      <c r="AK76" s="33">
        <f t="shared" si="11"/>
        <v>0</v>
      </c>
    </row>
    <row r="77" spans="1:37" hidden="1" x14ac:dyDescent="0.2">
      <c r="A77" s="95">
        <f t="shared" si="8"/>
        <v>75</v>
      </c>
      <c r="B77" s="21">
        <v>75</v>
      </c>
      <c r="C77" s="108"/>
      <c r="D77" s="109"/>
      <c r="E77" s="110"/>
      <c r="F77" s="18"/>
      <c r="G77" s="14"/>
      <c r="H77" s="2"/>
      <c r="I77" s="139">
        <f t="shared" si="9"/>
        <v>0</v>
      </c>
      <c r="J77" s="143">
        <f>'2013'!Q77</f>
        <v>0</v>
      </c>
      <c r="K77" s="7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121">
        <f t="shared" si="12"/>
        <v>0</v>
      </c>
      <c r="X77" s="1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3">
        <f t="shared" si="10"/>
        <v>0</v>
      </c>
      <c r="AK77" s="33">
        <f t="shared" si="11"/>
        <v>0</v>
      </c>
    </row>
    <row r="78" spans="1:37" hidden="1" x14ac:dyDescent="0.2">
      <c r="A78" s="95">
        <f t="shared" si="8"/>
        <v>76</v>
      </c>
      <c r="B78" s="21">
        <v>76</v>
      </c>
      <c r="C78" s="108"/>
      <c r="D78" s="109"/>
      <c r="E78" s="110"/>
      <c r="F78" s="18"/>
      <c r="G78" s="14"/>
      <c r="H78" s="2"/>
      <c r="I78" s="139">
        <f t="shared" si="9"/>
        <v>0</v>
      </c>
      <c r="J78" s="143">
        <f>'2013'!Q78</f>
        <v>0</v>
      </c>
      <c r="K78" s="7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121">
        <f t="shared" si="12"/>
        <v>0</v>
      </c>
      <c r="X78" s="1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3">
        <f t="shared" si="10"/>
        <v>0</v>
      </c>
      <c r="AK78" s="33">
        <f t="shared" si="11"/>
        <v>0</v>
      </c>
    </row>
    <row r="79" spans="1:37" hidden="1" x14ac:dyDescent="0.2">
      <c r="A79" s="95">
        <f t="shared" si="8"/>
        <v>77</v>
      </c>
      <c r="B79" s="21">
        <v>77</v>
      </c>
      <c r="C79" s="108"/>
      <c r="D79" s="109"/>
      <c r="E79" s="110"/>
      <c r="F79" s="18"/>
      <c r="G79" s="14"/>
      <c r="H79" s="2"/>
      <c r="I79" s="139">
        <f t="shared" si="9"/>
        <v>0</v>
      </c>
      <c r="J79" s="143">
        <f>'2013'!Q79</f>
        <v>0</v>
      </c>
      <c r="K79" s="7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121">
        <f t="shared" si="12"/>
        <v>0</v>
      </c>
      <c r="X79" s="1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3">
        <f t="shared" si="10"/>
        <v>0</v>
      </c>
      <c r="AK79" s="33">
        <f t="shared" si="11"/>
        <v>0</v>
      </c>
    </row>
    <row r="80" spans="1:37" x14ac:dyDescent="0.2">
      <c r="A80" s="95">
        <f t="shared" si="8"/>
        <v>78</v>
      </c>
      <c r="B80" s="21">
        <v>78</v>
      </c>
      <c r="C80" s="84" t="s">
        <v>239</v>
      </c>
      <c r="D80" s="46" t="s">
        <v>165</v>
      </c>
      <c r="E80" s="29">
        <v>41523</v>
      </c>
      <c r="F80" s="28">
        <v>1</v>
      </c>
      <c r="G80" s="37">
        <v>12</v>
      </c>
      <c r="H80" s="37">
        <f>SUM(G80-F80)+1</f>
        <v>12</v>
      </c>
      <c r="I80" s="139">
        <f t="shared" si="9"/>
        <v>21482.760000000002</v>
      </c>
      <c r="J80" s="143">
        <f>'2013'!Q80</f>
        <v>0.22999999999956344</v>
      </c>
      <c r="K80" s="24">
        <v>1790.46</v>
      </c>
      <c r="L80" s="25"/>
      <c r="M80" s="25"/>
      <c r="N80" s="25"/>
      <c r="O80" s="25"/>
      <c r="P80" s="25"/>
      <c r="Q80" s="131"/>
      <c r="R80" s="25"/>
      <c r="S80" s="25"/>
      <c r="T80" s="25"/>
      <c r="U80" s="25"/>
      <c r="V80" s="25"/>
      <c r="W80" s="121">
        <f t="shared" si="12"/>
        <v>19692.530000000002</v>
      </c>
      <c r="X80" s="1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3">
        <f t="shared" si="10"/>
        <v>0</v>
      </c>
      <c r="AK80" s="107">
        <f t="shared" si="11"/>
        <v>19692.530000000002</v>
      </c>
    </row>
    <row r="81" spans="1:37" x14ac:dyDescent="0.2">
      <c r="A81" s="95">
        <f t="shared" si="8"/>
        <v>79</v>
      </c>
      <c r="B81" s="21">
        <v>79</v>
      </c>
      <c r="C81" s="81" t="s">
        <v>111</v>
      </c>
      <c r="D81" s="46" t="s">
        <v>189</v>
      </c>
      <c r="E81" s="29">
        <v>41502</v>
      </c>
      <c r="F81" s="28">
        <v>1</v>
      </c>
      <c r="G81" s="37">
        <v>12</v>
      </c>
      <c r="H81" s="37">
        <f>SUM(G81-F81)+1</f>
        <v>12</v>
      </c>
      <c r="I81" s="139">
        <f t="shared" si="9"/>
        <v>21482.760000000002</v>
      </c>
      <c r="J81" s="143">
        <f>'2013'!Q81</f>
        <v>1.0000000000218279E-2</v>
      </c>
      <c r="K81" s="75"/>
      <c r="L81" s="25"/>
      <c r="M81" s="25"/>
      <c r="N81" s="25"/>
      <c r="O81" s="25"/>
      <c r="P81" s="25"/>
      <c r="Q81" s="131"/>
      <c r="R81" s="25"/>
      <c r="S81" s="25"/>
      <c r="T81" s="25"/>
      <c r="U81" s="25"/>
      <c r="V81" s="25"/>
      <c r="W81" s="121">
        <f t="shared" si="12"/>
        <v>21482.770000000004</v>
      </c>
      <c r="X81" s="1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3">
        <f t="shared" si="10"/>
        <v>0</v>
      </c>
      <c r="AK81" s="107">
        <f t="shared" si="11"/>
        <v>21482.770000000004</v>
      </c>
    </row>
    <row r="82" spans="1:37" hidden="1" x14ac:dyDescent="0.2">
      <c r="A82" s="95">
        <f t="shared" si="8"/>
        <v>80</v>
      </c>
      <c r="B82" s="21">
        <v>80</v>
      </c>
      <c r="C82" s="108"/>
      <c r="D82" s="109"/>
      <c r="E82" s="110"/>
      <c r="F82" s="18"/>
      <c r="G82" s="14"/>
      <c r="H82" s="2"/>
      <c r="I82" s="139">
        <f t="shared" si="9"/>
        <v>0</v>
      </c>
      <c r="J82" s="143">
        <f>'2013'!Q82</f>
        <v>0</v>
      </c>
      <c r="K82" s="7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121">
        <f t="shared" si="12"/>
        <v>0</v>
      </c>
      <c r="X82" s="1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3">
        <f t="shared" si="10"/>
        <v>0</v>
      </c>
      <c r="AK82" s="33">
        <f t="shared" si="11"/>
        <v>0</v>
      </c>
    </row>
    <row r="83" spans="1:37" hidden="1" x14ac:dyDescent="0.2">
      <c r="A83" s="94">
        <f t="shared" si="8"/>
        <v>81</v>
      </c>
      <c r="B83" s="21">
        <v>81</v>
      </c>
      <c r="C83" s="108"/>
      <c r="D83" s="109"/>
      <c r="E83" s="110"/>
      <c r="F83" s="18"/>
      <c r="G83" s="14"/>
      <c r="H83" s="2"/>
      <c r="I83" s="139">
        <f t="shared" si="9"/>
        <v>0</v>
      </c>
      <c r="J83" s="143">
        <f>'2013'!Q83</f>
        <v>0</v>
      </c>
      <c r="K83" s="7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121">
        <f t="shared" si="12"/>
        <v>0</v>
      </c>
      <c r="X83" s="1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3">
        <f t="shared" si="10"/>
        <v>0</v>
      </c>
      <c r="AK83" s="33">
        <f t="shared" si="11"/>
        <v>0</v>
      </c>
    </row>
    <row r="84" spans="1:37" hidden="1" x14ac:dyDescent="0.2">
      <c r="A84" s="95">
        <f t="shared" si="8"/>
        <v>82</v>
      </c>
      <c r="B84" s="21">
        <v>82</v>
      </c>
      <c r="C84" s="108"/>
      <c r="D84" s="109"/>
      <c r="E84" s="110"/>
      <c r="F84" s="18"/>
      <c r="G84" s="14"/>
      <c r="H84" s="2"/>
      <c r="I84" s="139">
        <f t="shared" si="9"/>
        <v>0</v>
      </c>
      <c r="J84" s="143">
        <f>'2013'!Q84</f>
        <v>0</v>
      </c>
      <c r="K84" s="7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121">
        <f t="shared" si="12"/>
        <v>0</v>
      </c>
      <c r="X84" s="1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3">
        <f t="shared" si="10"/>
        <v>0</v>
      </c>
      <c r="AK84" s="33">
        <f t="shared" si="11"/>
        <v>0</v>
      </c>
    </row>
    <row r="85" spans="1:37" hidden="1" x14ac:dyDescent="0.2">
      <c r="A85" s="95">
        <f t="shared" si="8"/>
        <v>83</v>
      </c>
      <c r="B85" s="21">
        <v>83</v>
      </c>
      <c r="C85" s="108"/>
      <c r="D85" s="109"/>
      <c r="E85" s="110"/>
      <c r="F85" s="18"/>
      <c r="G85" s="14"/>
      <c r="H85" s="2"/>
      <c r="I85" s="139">
        <f t="shared" si="9"/>
        <v>0</v>
      </c>
      <c r="J85" s="143">
        <f>'2013'!Q85</f>
        <v>0</v>
      </c>
      <c r="K85" s="7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121">
        <f t="shared" si="12"/>
        <v>0</v>
      </c>
      <c r="X85" s="1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3">
        <f t="shared" si="10"/>
        <v>0</v>
      </c>
      <c r="AK85" s="33">
        <f t="shared" si="11"/>
        <v>0</v>
      </c>
    </row>
    <row r="86" spans="1:37" x14ac:dyDescent="0.2">
      <c r="A86" s="95">
        <f t="shared" si="8"/>
        <v>84</v>
      </c>
      <c r="B86" s="21">
        <v>84</v>
      </c>
      <c r="C86" s="112" t="s">
        <v>219</v>
      </c>
      <c r="D86" s="109"/>
      <c r="E86" s="110"/>
      <c r="F86" s="28">
        <v>1</v>
      </c>
      <c r="G86" s="37">
        <v>12</v>
      </c>
      <c r="H86" s="37">
        <f>SUM(G86-F86)+1</f>
        <v>12</v>
      </c>
      <c r="I86" s="139">
        <f t="shared" si="9"/>
        <v>21482.760000000002</v>
      </c>
      <c r="J86" s="143">
        <f>'2013'!Q86</f>
        <v>6260.92</v>
      </c>
      <c r="K86" s="75"/>
      <c r="L86" s="25"/>
      <c r="M86" s="25"/>
      <c r="N86" s="25"/>
      <c r="O86" s="25"/>
      <c r="P86" s="25"/>
      <c r="Q86" s="131"/>
      <c r="R86" s="25"/>
      <c r="S86" s="25"/>
      <c r="T86" s="25"/>
      <c r="U86" s="25"/>
      <c r="V86" s="25"/>
      <c r="W86" s="121">
        <f t="shared" si="12"/>
        <v>27743.68</v>
      </c>
      <c r="X86" s="1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3">
        <f t="shared" si="10"/>
        <v>0</v>
      </c>
      <c r="AK86" s="107">
        <f t="shared" si="11"/>
        <v>27743.68</v>
      </c>
    </row>
    <row r="87" spans="1:37" x14ac:dyDescent="0.2">
      <c r="A87" s="95">
        <f t="shared" si="8"/>
        <v>85</v>
      </c>
      <c r="B87" s="21">
        <v>85</v>
      </c>
      <c r="C87" s="112" t="s">
        <v>219</v>
      </c>
      <c r="D87" s="109"/>
      <c r="E87" s="110"/>
      <c r="F87" s="28">
        <v>1</v>
      </c>
      <c r="G87" s="37">
        <v>12</v>
      </c>
      <c r="H87" s="37">
        <f>SUM(G87-F87)+1</f>
        <v>12</v>
      </c>
      <c r="I87" s="139">
        <f t="shared" si="9"/>
        <v>21482.760000000002</v>
      </c>
      <c r="J87" s="143">
        <f>'2013'!Q87</f>
        <v>6260.92</v>
      </c>
      <c r="K87" s="75"/>
      <c r="L87" s="25"/>
      <c r="M87" s="25"/>
      <c r="N87" s="25"/>
      <c r="O87" s="25"/>
      <c r="P87" s="25"/>
      <c r="Q87" s="131"/>
      <c r="R87" s="25"/>
      <c r="S87" s="25"/>
      <c r="T87" s="25"/>
      <c r="U87" s="25"/>
      <c r="V87" s="25"/>
      <c r="W87" s="121">
        <f t="shared" si="12"/>
        <v>27743.68</v>
      </c>
      <c r="X87" s="1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3">
        <f t="shared" si="10"/>
        <v>0</v>
      </c>
      <c r="AK87" s="107">
        <f t="shared" si="11"/>
        <v>27743.68</v>
      </c>
    </row>
    <row r="88" spans="1:37" x14ac:dyDescent="0.2">
      <c r="A88" s="95">
        <f t="shared" si="8"/>
        <v>86</v>
      </c>
      <c r="B88" s="21">
        <v>86</v>
      </c>
      <c r="C88" s="112" t="s">
        <v>219</v>
      </c>
      <c r="D88" s="109"/>
      <c r="E88" s="110"/>
      <c r="F88" s="28">
        <v>1</v>
      </c>
      <c r="G88" s="37">
        <v>12</v>
      </c>
      <c r="H88" s="37">
        <f>SUM(G88-F88)+1</f>
        <v>12</v>
      </c>
      <c r="I88" s="139">
        <f t="shared" si="9"/>
        <v>21482.760000000002</v>
      </c>
      <c r="J88" s="143">
        <f>'2013'!Q88</f>
        <v>6260.92</v>
      </c>
      <c r="K88" s="75"/>
      <c r="L88" s="25"/>
      <c r="M88" s="25"/>
      <c r="N88" s="25"/>
      <c r="O88" s="25"/>
      <c r="P88" s="25"/>
      <c r="Q88" s="131"/>
      <c r="R88" s="25"/>
      <c r="S88" s="25"/>
      <c r="T88" s="25"/>
      <c r="U88" s="25"/>
      <c r="V88" s="25"/>
      <c r="W88" s="121">
        <f t="shared" si="12"/>
        <v>27743.68</v>
      </c>
      <c r="X88" s="1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3">
        <f t="shared" si="10"/>
        <v>0</v>
      </c>
      <c r="AK88" s="107">
        <f t="shared" si="11"/>
        <v>27743.68</v>
      </c>
    </row>
    <row r="89" spans="1:37" hidden="1" x14ac:dyDescent="0.2">
      <c r="A89" s="95">
        <f t="shared" si="8"/>
        <v>87</v>
      </c>
      <c r="B89" s="21">
        <v>87</v>
      </c>
      <c r="C89" s="108"/>
      <c r="D89" s="109"/>
      <c r="E89" s="110"/>
      <c r="F89" s="18"/>
      <c r="G89" s="14"/>
      <c r="H89" s="2"/>
      <c r="I89" s="139">
        <f t="shared" si="9"/>
        <v>0</v>
      </c>
      <c r="J89" s="143">
        <f>'2013'!Q89</f>
        <v>0</v>
      </c>
      <c r="K89" s="7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121">
        <f t="shared" si="12"/>
        <v>0</v>
      </c>
      <c r="X89" s="1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3">
        <f t="shared" si="10"/>
        <v>0</v>
      </c>
      <c r="AK89" s="33">
        <f t="shared" si="11"/>
        <v>0</v>
      </c>
    </row>
    <row r="90" spans="1:37" x14ac:dyDescent="0.2">
      <c r="A90" s="95">
        <f t="shared" si="8"/>
        <v>88</v>
      </c>
      <c r="B90" s="22">
        <v>88</v>
      </c>
      <c r="C90" s="85" t="s">
        <v>198</v>
      </c>
      <c r="D90" s="46" t="s">
        <v>171</v>
      </c>
      <c r="E90" s="29">
        <v>41512</v>
      </c>
      <c r="F90" s="28">
        <v>1</v>
      </c>
      <c r="G90" s="37">
        <v>12</v>
      </c>
      <c r="H90" s="37">
        <f t="shared" ref="H90:H95" si="13">SUM(G90-F90)+1</f>
        <v>12</v>
      </c>
      <c r="I90" s="139">
        <f t="shared" si="9"/>
        <v>21482.760000000002</v>
      </c>
      <c r="J90" s="143">
        <f>'2013'!Q90</f>
        <v>1.8189894035458565E-12</v>
      </c>
      <c r="K90" s="75"/>
      <c r="L90" s="25"/>
      <c r="M90" s="25"/>
      <c r="N90" s="25"/>
      <c r="O90" s="25"/>
      <c r="P90" s="25"/>
      <c r="Q90" s="131"/>
      <c r="R90" s="25"/>
      <c r="S90" s="25"/>
      <c r="T90" s="25"/>
      <c r="U90" s="25"/>
      <c r="V90" s="25"/>
      <c r="W90" s="121">
        <f t="shared" si="12"/>
        <v>21482.760000000002</v>
      </c>
      <c r="X90" s="1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3">
        <f t="shared" si="10"/>
        <v>0</v>
      </c>
      <c r="AK90" s="107">
        <f t="shared" si="11"/>
        <v>21482.760000000002</v>
      </c>
    </row>
    <row r="91" spans="1:37" x14ac:dyDescent="0.2">
      <c r="A91" s="95">
        <f t="shared" si="8"/>
        <v>89</v>
      </c>
      <c r="B91" s="21">
        <v>89</v>
      </c>
      <c r="C91" s="82" t="s">
        <v>47</v>
      </c>
      <c r="D91" s="8" t="s">
        <v>48</v>
      </c>
      <c r="E91" s="29">
        <v>41442</v>
      </c>
      <c r="F91" s="28">
        <v>1</v>
      </c>
      <c r="G91" s="37">
        <v>12</v>
      </c>
      <c r="H91" s="37">
        <f t="shared" si="13"/>
        <v>12</v>
      </c>
      <c r="I91" s="139">
        <f t="shared" si="9"/>
        <v>21482.760000000002</v>
      </c>
      <c r="J91" s="143">
        <f>'2013'!Q91</f>
        <v>1.0000000000218279E-2</v>
      </c>
      <c r="K91" s="75"/>
      <c r="L91" s="25"/>
      <c r="M91" s="25"/>
      <c r="N91" s="25"/>
      <c r="O91" s="25"/>
      <c r="P91" s="25"/>
      <c r="Q91" s="131"/>
      <c r="R91" s="25"/>
      <c r="S91" s="25"/>
      <c r="T91" s="25"/>
      <c r="U91" s="25"/>
      <c r="V91" s="25"/>
      <c r="W91" s="121">
        <f t="shared" si="12"/>
        <v>21482.770000000004</v>
      </c>
      <c r="X91" s="1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3">
        <f t="shared" si="10"/>
        <v>0</v>
      </c>
      <c r="AK91" s="107">
        <f t="shared" si="11"/>
        <v>21482.770000000004</v>
      </c>
    </row>
    <row r="92" spans="1:37" x14ac:dyDescent="0.2">
      <c r="A92" s="95">
        <f t="shared" si="8"/>
        <v>90</v>
      </c>
      <c r="B92" s="21">
        <v>90</v>
      </c>
      <c r="C92" s="111" t="s">
        <v>112</v>
      </c>
      <c r="D92" s="50"/>
      <c r="E92" s="51"/>
      <c r="F92" s="28">
        <v>1</v>
      </c>
      <c r="G92" s="27">
        <v>12</v>
      </c>
      <c r="H92" s="37">
        <f t="shared" si="13"/>
        <v>12</v>
      </c>
      <c r="I92" s="139">
        <f t="shared" si="9"/>
        <v>21482.760000000002</v>
      </c>
      <c r="J92" s="143">
        <f>'2013'!Q92</f>
        <v>6260.92</v>
      </c>
      <c r="K92" s="75"/>
      <c r="L92" s="25"/>
      <c r="M92" s="25"/>
      <c r="N92" s="25"/>
      <c r="O92" s="25"/>
      <c r="P92" s="25"/>
      <c r="Q92" s="131"/>
      <c r="R92" s="25"/>
      <c r="S92" s="25"/>
      <c r="T92" s="25"/>
      <c r="U92" s="25"/>
      <c r="V92" s="25"/>
      <c r="W92" s="121">
        <f t="shared" si="12"/>
        <v>27743.68</v>
      </c>
      <c r="X92" s="1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3">
        <f t="shared" si="10"/>
        <v>0</v>
      </c>
      <c r="AK92" s="107">
        <f t="shared" si="11"/>
        <v>27743.68</v>
      </c>
    </row>
    <row r="93" spans="1:37" x14ac:dyDescent="0.2">
      <c r="A93" s="94">
        <f t="shared" si="8"/>
        <v>91</v>
      </c>
      <c r="B93" s="21">
        <v>91</v>
      </c>
      <c r="C93" s="112" t="s">
        <v>276</v>
      </c>
      <c r="D93" s="109"/>
      <c r="E93" s="110"/>
      <c r="F93" s="28">
        <v>1</v>
      </c>
      <c r="G93" s="27">
        <v>12</v>
      </c>
      <c r="H93" s="37">
        <f t="shared" si="13"/>
        <v>12</v>
      </c>
      <c r="I93" s="139">
        <f t="shared" si="9"/>
        <v>21482.760000000002</v>
      </c>
      <c r="J93" s="143">
        <f>'2013'!Q93</f>
        <v>0</v>
      </c>
      <c r="K93" s="7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121">
        <f t="shared" si="12"/>
        <v>21482.760000000002</v>
      </c>
      <c r="X93" s="1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3">
        <f t="shared" si="10"/>
        <v>0</v>
      </c>
      <c r="AK93" s="33">
        <f t="shared" si="11"/>
        <v>21482.760000000002</v>
      </c>
    </row>
    <row r="94" spans="1:37" x14ac:dyDescent="0.2">
      <c r="A94" s="95">
        <f t="shared" si="8"/>
        <v>92</v>
      </c>
      <c r="B94" s="21">
        <v>92</v>
      </c>
      <c r="C94" s="112" t="s">
        <v>274</v>
      </c>
      <c r="D94" s="109"/>
      <c r="E94" s="110"/>
      <c r="F94" s="18">
        <v>1</v>
      </c>
      <c r="G94" s="14">
        <v>12</v>
      </c>
      <c r="H94" s="37">
        <f t="shared" si="13"/>
        <v>12</v>
      </c>
      <c r="I94" s="139">
        <f t="shared" si="9"/>
        <v>21482.760000000002</v>
      </c>
      <c r="J94" s="143">
        <f>'2013'!Q94</f>
        <v>0</v>
      </c>
      <c r="K94" s="7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121">
        <f t="shared" si="12"/>
        <v>21482.760000000002</v>
      </c>
      <c r="X94" s="1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3">
        <f t="shared" si="10"/>
        <v>0</v>
      </c>
      <c r="AK94" s="33">
        <f t="shared" si="11"/>
        <v>21482.760000000002</v>
      </c>
    </row>
    <row r="95" spans="1:37" x14ac:dyDescent="0.2">
      <c r="A95" s="95">
        <f t="shared" si="8"/>
        <v>93</v>
      </c>
      <c r="B95" s="21">
        <v>93</v>
      </c>
      <c r="C95" s="82" t="s">
        <v>24</v>
      </c>
      <c r="D95" s="8" t="s">
        <v>25</v>
      </c>
      <c r="E95" s="29">
        <v>41453</v>
      </c>
      <c r="F95" s="28">
        <v>1</v>
      </c>
      <c r="G95" s="37">
        <v>12</v>
      </c>
      <c r="H95" s="37">
        <f t="shared" si="13"/>
        <v>12</v>
      </c>
      <c r="I95" s="139">
        <f t="shared" si="9"/>
        <v>21482.760000000002</v>
      </c>
      <c r="J95" s="143">
        <f>'2013'!Q95</f>
        <v>0</v>
      </c>
      <c r="K95" s="75"/>
      <c r="L95" s="25"/>
      <c r="M95" s="25"/>
      <c r="N95" s="25"/>
      <c r="O95" s="25"/>
      <c r="P95" s="25"/>
      <c r="Q95" s="131"/>
      <c r="R95" s="25"/>
      <c r="S95" s="25"/>
      <c r="T95" s="25"/>
      <c r="U95" s="25"/>
      <c r="V95" s="25"/>
      <c r="W95" s="121">
        <f t="shared" si="12"/>
        <v>21482.760000000002</v>
      </c>
      <c r="X95" s="24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3">
        <f t="shared" si="10"/>
        <v>0</v>
      </c>
      <c r="AK95" s="107">
        <f t="shared" si="11"/>
        <v>21482.760000000002</v>
      </c>
    </row>
    <row r="96" spans="1:37" hidden="1" x14ac:dyDescent="0.2">
      <c r="A96" s="95">
        <f t="shared" si="8"/>
        <v>94</v>
      </c>
      <c r="B96" s="21">
        <v>94</v>
      </c>
      <c r="C96" s="108"/>
      <c r="D96" s="109"/>
      <c r="E96" s="110"/>
      <c r="F96" s="18"/>
      <c r="G96" s="14"/>
      <c r="H96" s="2"/>
      <c r="I96" s="139">
        <f t="shared" si="9"/>
        <v>0</v>
      </c>
      <c r="J96" s="143">
        <f>'2013'!Q96</f>
        <v>0</v>
      </c>
      <c r="K96" s="7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121">
        <f t="shared" si="12"/>
        <v>0</v>
      </c>
      <c r="X96" s="1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3">
        <f t="shared" si="10"/>
        <v>0</v>
      </c>
      <c r="AK96" s="33">
        <f t="shared" si="11"/>
        <v>0</v>
      </c>
    </row>
    <row r="97" spans="1:37" hidden="1" x14ac:dyDescent="0.2">
      <c r="A97" s="95">
        <f t="shared" si="8"/>
        <v>95</v>
      </c>
      <c r="B97" s="21">
        <v>95</v>
      </c>
      <c r="C97" s="108"/>
      <c r="D97" s="109"/>
      <c r="E97" s="110"/>
      <c r="F97" s="18"/>
      <c r="G97" s="14"/>
      <c r="H97" s="2"/>
      <c r="I97" s="139">
        <f t="shared" si="9"/>
        <v>0</v>
      </c>
      <c r="J97" s="143">
        <f>'2013'!Q97</f>
        <v>0</v>
      </c>
      <c r="K97" s="7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121">
        <f t="shared" si="12"/>
        <v>0</v>
      </c>
      <c r="X97" s="1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3">
        <f t="shared" si="10"/>
        <v>0</v>
      </c>
      <c r="AK97" s="33">
        <f t="shared" si="11"/>
        <v>0</v>
      </c>
    </row>
    <row r="98" spans="1:37" hidden="1" x14ac:dyDescent="0.2">
      <c r="A98" s="95">
        <f t="shared" si="8"/>
        <v>96</v>
      </c>
      <c r="B98" s="21">
        <v>96</v>
      </c>
      <c r="C98" s="108"/>
      <c r="D98" s="109"/>
      <c r="E98" s="110"/>
      <c r="F98" s="18"/>
      <c r="G98" s="14"/>
      <c r="H98" s="2"/>
      <c r="I98" s="139">
        <f t="shared" si="9"/>
        <v>0</v>
      </c>
      <c r="J98" s="143">
        <f>'2013'!Q98</f>
        <v>0</v>
      </c>
      <c r="K98" s="7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121">
        <f t="shared" si="12"/>
        <v>0</v>
      </c>
      <c r="X98" s="1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3">
        <f t="shared" si="10"/>
        <v>0</v>
      </c>
      <c r="AK98" s="33">
        <f t="shared" si="11"/>
        <v>0</v>
      </c>
    </row>
    <row r="99" spans="1:37" hidden="1" x14ac:dyDescent="0.2">
      <c r="A99" s="95">
        <f t="shared" si="8"/>
        <v>97</v>
      </c>
      <c r="B99" s="21">
        <v>97</v>
      </c>
      <c r="C99" s="108"/>
      <c r="D99" s="109"/>
      <c r="E99" s="110"/>
      <c r="F99" s="18"/>
      <c r="G99" s="14"/>
      <c r="H99" s="2"/>
      <c r="I99" s="139">
        <f t="shared" si="9"/>
        <v>0</v>
      </c>
      <c r="J99" s="143">
        <f>'2013'!Q99</f>
        <v>0</v>
      </c>
      <c r="K99" s="7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121">
        <f t="shared" si="12"/>
        <v>0</v>
      </c>
      <c r="X99" s="1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3">
        <f t="shared" ref="AJ99:AJ130" si="14">SUM(X99:AI99)</f>
        <v>0</v>
      </c>
      <c r="AK99" s="33">
        <f t="shared" si="11"/>
        <v>0</v>
      </c>
    </row>
    <row r="100" spans="1:37" hidden="1" x14ac:dyDescent="0.2">
      <c r="A100" s="95">
        <f t="shared" si="8"/>
        <v>98</v>
      </c>
      <c r="B100" s="21">
        <v>98</v>
      </c>
      <c r="C100" s="108"/>
      <c r="D100" s="109"/>
      <c r="E100" s="110"/>
      <c r="F100" s="18"/>
      <c r="G100" s="14"/>
      <c r="H100" s="2"/>
      <c r="I100" s="139">
        <f t="shared" si="9"/>
        <v>0</v>
      </c>
      <c r="J100" s="143">
        <f>'2013'!Q100</f>
        <v>0</v>
      </c>
      <c r="K100" s="7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121">
        <f t="shared" si="12"/>
        <v>0</v>
      </c>
      <c r="X100" s="1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3">
        <f t="shared" si="14"/>
        <v>0</v>
      </c>
      <c r="AK100" s="33">
        <f t="shared" si="11"/>
        <v>0</v>
      </c>
    </row>
    <row r="101" spans="1:37" x14ac:dyDescent="0.2">
      <c r="A101" s="95">
        <f t="shared" si="8"/>
        <v>99</v>
      </c>
      <c r="B101" s="21">
        <v>99</v>
      </c>
      <c r="C101" s="111" t="s">
        <v>113</v>
      </c>
      <c r="D101" s="50"/>
      <c r="E101" s="51"/>
      <c r="F101" s="28">
        <v>1</v>
      </c>
      <c r="G101" s="37">
        <v>12</v>
      </c>
      <c r="H101" s="37">
        <f t="shared" ref="H101:H133" si="15">SUM(G101-F101)+1</f>
        <v>12</v>
      </c>
      <c r="I101" s="139">
        <f t="shared" si="9"/>
        <v>21482.760000000002</v>
      </c>
      <c r="J101" s="143">
        <f>'2013'!Q101</f>
        <v>301.61000000000058</v>
      </c>
      <c r="K101" s="75"/>
      <c r="L101" s="25"/>
      <c r="M101" s="25"/>
      <c r="N101" s="25"/>
      <c r="O101" s="25"/>
      <c r="P101" s="25"/>
      <c r="Q101" s="131"/>
      <c r="R101" s="25"/>
      <c r="S101" s="25"/>
      <c r="T101" s="25"/>
      <c r="U101" s="25"/>
      <c r="V101" s="25"/>
      <c r="W101" s="121">
        <f t="shared" si="12"/>
        <v>21784.370000000003</v>
      </c>
      <c r="X101" s="1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3">
        <f t="shared" si="14"/>
        <v>0</v>
      </c>
      <c r="AK101" s="107">
        <f t="shared" si="11"/>
        <v>21784.370000000003</v>
      </c>
    </row>
    <row r="102" spans="1:37" x14ac:dyDescent="0.2">
      <c r="A102" s="95">
        <f t="shared" si="8"/>
        <v>100</v>
      </c>
      <c r="B102" s="21">
        <v>100</v>
      </c>
      <c r="C102" s="112" t="s">
        <v>220</v>
      </c>
      <c r="D102" s="109"/>
      <c r="E102" s="110"/>
      <c r="F102" s="28">
        <v>1</v>
      </c>
      <c r="G102" s="37">
        <v>12</v>
      </c>
      <c r="H102" s="37">
        <f t="shared" si="15"/>
        <v>12</v>
      </c>
      <c r="I102" s="139">
        <f t="shared" si="9"/>
        <v>21482.760000000002</v>
      </c>
      <c r="J102" s="143">
        <f>'2013'!Q102</f>
        <v>9.0949470177292824E-13</v>
      </c>
      <c r="K102" s="75"/>
      <c r="L102" s="25"/>
      <c r="M102" s="25"/>
      <c r="N102" s="25"/>
      <c r="O102" s="25"/>
      <c r="P102" s="25"/>
      <c r="Q102" s="131"/>
      <c r="R102" s="25"/>
      <c r="S102" s="25"/>
      <c r="T102" s="25"/>
      <c r="U102" s="25"/>
      <c r="V102" s="25"/>
      <c r="W102" s="121">
        <f t="shared" si="12"/>
        <v>21482.760000000002</v>
      </c>
      <c r="X102" s="1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3">
        <f t="shared" si="14"/>
        <v>0</v>
      </c>
      <c r="AK102" s="107">
        <f t="shared" si="11"/>
        <v>21482.760000000002</v>
      </c>
    </row>
    <row r="103" spans="1:37" x14ac:dyDescent="0.2">
      <c r="A103" s="94">
        <f t="shared" si="8"/>
        <v>101</v>
      </c>
      <c r="B103" s="22">
        <v>101</v>
      </c>
      <c r="C103" s="85" t="s">
        <v>199</v>
      </c>
      <c r="D103" s="46" t="s">
        <v>175</v>
      </c>
      <c r="E103" s="29">
        <v>41505</v>
      </c>
      <c r="F103" s="28">
        <v>1</v>
      </c>
      <c r="G103" s="37">
        <v>12</v>
      </c>
      <c r="H103" s="37">
        <f t="shared" si="15"/>
        <v>12</v>
      </c>
      <c r="I103" s="139">
        <f t="shared" si="9"/>
        <v>21482.760000000002</v>
      </c>
      <c r="J103" s="143">
        <f>'2013'!Q103</f>
        <v>0</v>
      </c>
      <c r="K103" s="75"/>
      <c r="L103" s="25"/>
      <c r="M103" s="25"/>
      <c r="N103" s="25"/>
      <c r="O103" s="25"/>
      <c r="P103" s="25"/>
      <c r="Q103" s="131"/>
      <c r="R103" s="25"/>
      <c r="S103" s="25"/>
      <c r="T103" s="25"/>
      <c r="U103" s="25"/>
      <c r="V103" s="25"/>
      <c r="W103" s="121">
        <f t="shared" si="12"/>
        <v>21482.760000000002</v>
      </c>
      <c r="X103" s="1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3">
        <f t="shared" si="14"/>
        <v>0</v>
      </c>
      <c r="AK103" s="107">
        <f t="shared" si="11"/>
        <v>21482.760000000002</v>
      </c>
    </row>
    <row r="104" spans="1:37" x14ac:dyDescent="0.2">
      <c r="A104" s="95">
        <f t="shared" si="8"/>
        <v>102</v>
      </c>
      <c r="B104" s="21">
        <v>102</v>
      </c>
      <c r="C104" s="81" t="s">
        <v>114</v>
      </c>
      <c r="D104" s="46" t="s">
        <v>179</v>
      </c>
      <c r="E104" s="29">
        <v>41451</v>
      </c>
      <c r="F104" s="28">
        <v>1</v>
      </c>
      <c r="G104" s="37">
        <v>12</v>
      </c>
      <c r="H104" s="37">
        <f t="shared" si="15"/>
        <v>12</v>
      </c>
      <c r="I104" s="139">
        <f t="shared" si="9"/>
        <v>21482.760000000002</v>
      </c>
      <c r="J104" s="143">
        <f>'2013'!Q104</f>
        <v>299.61000000000058</v>
      </c>
      <c r="K104" s="75"/>
      <c r="L104" s="25"/>
      <c r="M104" s="25"/>
      <c r="N104" s="25"/>
      <c r="O104" s="25"/>
      <c r="P104" s="25"/>
      <c r="Q104" s="131"/>
      <c r="R104" s="25"/>
      <c r="S104" s="25"/>
      <c r="T104" s="25"/>
      <c r="U104" s="25"/>
      <c r="V104" s="25"/>
      <c r="W104" s="121">
        <f t="shared" si="12"/>
        <v>21782.370000000003</v>
      </c>
      <c r="X104" s="1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3">
        <f t="shared" si="14"/>
        <v>0</v>
      </c>
      <c r="AK104" s="107">
        <f t="shared" si="11"/>
        <v>21782.370000000003</v>
      </c>
    </row>
    <row r="105" spans="1:37" x14ac:dyDescent="0.2">
      <c r="A105" s="95">
        <f t="shared" si="8"/>
        <v>103</v>
      </c>
      <c r="B105" s="21">
        <v>103</v>
      </c>
      <c r="C105" s="82" t="s">
        <v>23</v>
      </c>
      <c r="D105" s="46" t="s">
        <v>185</v>
      </c>
      <c r="E105" s="29">
        <v>41426</v>
      </c>
      <c r="F105" s="28">
        <v>1</v>
      </c>
      <c r="G105" s="37">
        <v>12</v>
      </c>
      <c r="H105" s="37">
        <f t="shared" si="15"/>
        <v>12</v>
      </c>
      <c r="I105" s="139">
        <f t="shared" si="9"/>
        <v>21482.760000000002</v>
      </c>
      <c r="J105" s="143">
        <f>'2013'!Q105</f>
        <v>0</v>
      </c>
      <c r="K105" s="75"/>
      <c r="L105" s="25"/>
      <c r="M105" s="25"/>
      <c r="N105" s="25"/>
      <c r="O105" s="25"/>
      <c r="P105" s="25"/>
      <c r="Q105" s="131"/>
      <c r="R105" s="25"/>
      <c r="S105" s="25"/>
      <c r="T105" s="25"/>
      <c r="U105" s="25"/>
      <c r="V105" s="25"/>
      <c r="W105" s="121">
        <f t="shared" si="12"/>
        <v>21482.760000000002</v>
      </c>
      <c r="X105" s="1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3">
        <f t="shared" si="14"/>
        <v>0</v>
      </c>
      <c r="AK105" s="107">
        <f t="shared" si="11"/>
        <v>21482.760000000002</v>
      </c>
    </row>
    <row r="106" spans="1:37" x14ac:dyDescent="0.2">
      <c r="A106" s="95">
        <f t="shared" si="8"/>
        <v>104</v>
      </c>
      <c r="B106" s="21">
        <v>104</v>
      </c>
      <c r="C106" s="84" t="s">
        <v>207</v>
      </c>
      <c r="D106" s="8" t="s">
        <v>22</v>
      </c>
      <c r="E106" s="29">
        <v>41449</v>
      </c>
      <c r="F106" s="28">
        <v>1</v>
      </c>
      <c r="G106" s="37">
        <v>12</v>
      </c>
      <c r="H106" s="37">
        <f t="shared" si="15"/>
        <v>12</v>
      </c>
      <c r="I106" s="139">
        <f t="shared" si="9"/>
        <v>21482.760000000002</v>
      </c>
      <c r="J106" s="143">
        <f>'2013'!Q106</f>
        <v>1790.2300000000014</v>
      </c>
      <c r="K106" s="75"/>
      <c r="L106" s="25"/>
      <c r="M106" s="25"/>
      <c r="N106" s="25"/>
      <c r="O106" s="25"/>
      <c r="P106" s="25"/>
      <c r="Q106" s="131"/>
      <c r="R106" s="25"/>
      <c r="S106" s="25"/>
      <c r="T106" s="25"/>
      <c r="U106" s="25"/>
      <c r="V106" s="25"/>
      <c r="W106" s="121">
        <f t="shared" si="12"/>
        <v>23272.990000000005</v>
      </c>
      <c r="X106" s="1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3">
        <f t="shared" si="14"/>
        <v>0</v>
      </c>
      <c r="AK106" s="107">
        <f t="shared" si="11"/>
        <v>23272.990000000005</v>
      </c>
    </row>
    <row r="107" spans="1:37" x14ac:dyDescent="0.2">
      <c r="A107" s="95">
        <f t="shared" si="8"/>
        <v>105</v>
      </c>
      <c r="B107" s="21">
        <v>105</v>
      </c>
      <c r="C107" s="91" t="s">
        <v>160</v>
      </c>
      <c r="D107" s="46" t="s">
        <v>195</v>
      </c>
      <c r="E107" s="29">
        <v>41485</v>
      </c>
      <c r="F107" s="28">
        <v>1</v>
      </c>
      <c r="G107" s="37">
        <v>12</v>
      </c>
      <c r="H107" s="37">
        <f t="shared" si="15"/>
        <v>12</v>
      </c>
      <c r="I107" s="139">
        <f t="shared" si="9"/>
        <v>21482.760000000002</v>
      </c>
      <c r="J107" s="143">
        <f>'2013'!Q107</f>
        <v>300</v>
      </c>
      <c r="K107" s="75"/>
      <c r="L107" s="25"/>
      <c r="M107" s="25"/>
      <c r="N107" s="25"/>
      <c r="O107" s="25"/>
      <c r="P107" s="25"/>
      <c r="Q107" s="131"/>
      <c r="R107" s="25"/>
      <c r="S107" s="25"/>
      <c r="T107" s="25"/>
      <c r="U107" s="25"/>
      <c r="V107" s="25"/>
      <c r="W107" s="121">
        <f t="shared" si="12"/>
        <v>21782.760000000002</v>
      </c>
      <c r="X107" s="1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3">
        <f t="shared" si="14"/>
        <v>0</v>
      </c>
      <c r="AK107" s="107">
        <f t="shared" si="11"/>
        <v>21782.760000000002</v>
      </c>
    </row>
    <row r="108" spans="1:37" x14ac:dyDescent="0.2">
      <c r="A108" s="95">
        <f t="shared" si="8"/>
        <v>106</v>
      </c>
      <c r="B108" s="21">
        <v>106</v>
      </c>
      <c r="C108" s="81" t="s">
        <v>116</v>
      </c>
      <c r="D108" s="46" t="s">
        <v>206</v>
      </c>
      <c r="E108" s="29">
        <v>41456</v>
      </c>
      <c r="F108" s="28">
        <v>1</v>
      </c>
      <c r="G108" s="27">
        <v>12</v>
      </c>
      <c r="H108" s="37">
        <f t="shared" si="15"/>
        <v>12</v>
      </c>
      <c r="I108" s="139">
        <f t="shared" si="9"/>
        <v>21482.760000000002</v>
      </c>
      <c r="J108" s="143">
        <f>'2013'!Q108</f>
        <v>0</v>
      </c>
      <c r="K108" s="75"/>
      <c r="L108" s="25"/>
      <c r="M108" s="25"/>
      <c r="N108" s="25"/>
      <c r="O108" s="25"/>
      <c r="P108" s="25"/>
      <c r="Q108" s="131"/>
      <c r="R108" s="25"/>
      <c r="S108" s="25"/>
      <c r="T108" s="25"/>
      <c r="U108" s="25"/>
      <c r="V108" s="25"/>
      <c r="W108" s="121">
        <f t="shared" si="12"/>
        <v>21482.760000000002</v>
      </c>
      <c r="X108" s="1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3">
        <f t="shared" si="14"/>
        <v>0</v>
      </c>
      <c r="AK108" s="107">
        <f t="shared" si="11"/>
        <v>21482.760000000002</v>
      </c>
    </row>
    <row r="109" spans="1:37" x14ac:dyDescent="0.2">
      <c r="A109" s="95">
        <f t="shared" si="8"/>
        <v>107</v>
      </c>
      <c r="B109" s="21">
        <v>107</v>
      </c>
      <c r="C109" s="111" t="s">
        <v>117</v>
      </c>
      <c r="D109" s="50"/>
      <c r="E109" s="51"/>
      <c r="F109" s="28">
        <v>1</v>
      </c>
      <c r="G109" s="37">
        <v>12</v>
      </c>
      <c r="H109" s="37">
        <f t="shared" si="15"/>
        <v>12</v>
      </c>
      <c r="I109" s="139">
        <f t="shared" si="9"/>
        <v>21482.760000000002</v>
      </c>
      <c r="J109" s="143">
        <f>'2013'!Q109</f>
        <v>0</v>
      </c>
      <c r="K109" s="75"/>
      <c r="L109" s="25"/>
      <c r="M109" s="25"/>
      <c r="N109" s="25"/>
      <c r="O109" s="25"/>
      <c r="P109" s="25"/>
      <c r="Q109" s="131"/>
      <c r="R109" s="25"/>
      <c r="S109" s="25"/>
      <c r="T109" s="25"/>
      <c r="U109" s="25"/>
      <c r="V109" s="25"/>
      <c r="W109" s="121">
        <f t="shared" si="12"/>
        <v>21482.760000000002</v>
      </c>
      <c r="X109" s="1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3">
        <f t="shared" si="14"/>
        <v>0</v>
      </c>
      <c r="AK109" s="107">
        <f t="shared" si="11"/>
        <v>21482.760000000002</v>
      </c>
    </row>
    <row r="110" spans="1:37" x14ac:dyDescent="0.2">
      <c r="A110" s="95">
        <f t="shared" si="8"/>
        <v>108</v>
      </c>
      <c r="B110" s="22">
        <v>108</v>
      </c>
      <c r="C110" s="85" t="s">
        <v>212</v>
      </c>
      <c r="D110" s="46" t="s">
        <v>184</v>
      </c>
      <c r="E110" s="29">
        <v>41505</v>
      </c>
      <c r="F110" s="28">
        <v>1</v>
      </c>
      <c r="G110" s="37">
        <v>12</v>
      </c>
      <c r="H110" s="37">
        <f t="shared" si="15"/>
        <v>12</v>
      </c>
      <c r="I110" s="139">
        <f t="shared" si="9"/>
        <v>21482.760000000002</v>
      </c>
      <c r="J110" s="143">
        <f>'2013'!Q110</f>
        <v>300</v>
      </c>
      <c r="K110" s="24">
        <f>1790.23*2</f>
        <v>3580.46</v>
      </c>
      <c r="L110" s="23"/>
      <c r="M110" s="25"/>
      <c r="N110" s="25"/>
      <c r="O110" s="25"/>
      <c r="P110" s="25"/>
      <c r="Q110" s="131"/>
      <c r="R110" s="25"/>
      <c r="S110" s="25"/>
      <c r="T110" s="25"/>
      <c r="U110" s="25"/>
      <c r="V110" s="25"/>
      <c r="W110" s="121">
        <f t="shared" si="12"/>
        <v>18202.300000000003</v>
      </c>
      <c r="X110" s="1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3">
        <f t="shared" si="14"/>
        <v>0</v>
      </c>
      <c r="AK110" s="107">
        <f t="shared" si="11"/>
        <v>18202.300000000003</v>
      </c>
    </row>
    <row r="111" spans="1:37" x14ac:dyDescent="0.2">
      <c r="A111" s="95">
        <f t="shared" si="8"/>
        <v>109</v>
      </c>
      <c r="B111" s="21">
        <v>109</v>
      </c>
      <c r="C111" s="82" t="s">
        <v>37</v>
      </c>
      <c r="D111" s="8" t="s">
        <v>59</v>
      </c>
      <c r="E111" s="29">
        <v>41444</v>
      </c>
      <c r="F111" s="28">
        <v>1</v>
      </c>
      <c r="G111" s="37">
        <v>12</v>
      </c>
      <c r="H111" s="37">
        <f t="shared" si="15"/>
        <v>12</v>
      </c>
      <c r="I111" s="139">
        <f t="shared" si="9"/>
        <v>21482.760000000002</v>
      </c>
      <c r="J111" s="143">
        <f>'2013'!Q111</f>
        <v>1790.2299999999996</v>
      </c>
      <c r="K111" s="24">
        <f>1790.23*2</f>
        <v>3580.46</v>
      </c>
      <c r="L111" s="25"/>
      <c r="M111" s="25"/>
      <c r="N111" s="25"/>
      <c r="O111" s="25"/>
      <c r="P111" s="25"/>
      <c r="Q111" s="131"/>
      <c r="R111" s="25"/>
      <c r="S111" s="25"/>
      <c r="T111" s="25"/>
      <c r="U111" s="25"/>
      <c r="V111" s="25"/>
      <c r="W111" s="121">
        <f t="shared" si="12"/>
        <v>19692.530000000002</v>
      </c>
      <c r="X111" s="1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3">
        <f t="shared" si="14"/>
        <v>0</v>
      </c>
      <c r="AK111" s="107">
        <f t="shared" si="11"/>
        <v>19692.530000000002</v>
      </c>
    </row>
    <row r="112" spans="1:37" x14ac:dyDescent="0.2">
      <c r="A112" s="95">
        <f t="shared" si="8"/>
        <v>110</v>
      </c>
      <c r="B112" s="21">
        <v>110</v>
      </c>
      <c r="C112" s="82" t="s">
        <v>42</v>
      </c>
      <c r="D112" s="8" t="s">
        <v>60</v>
      </c>
      <c r="E112" s="29">
        <v>41444</v>
      </c>
      <c r="F112" s="28">
        <v>1</v>
      </c>
      <c r="G112" s="27">
        <v>12</v>
      </c>
      <c r="H112" s="27">
        <f t="shared" si="15"/>
        <v>12</v>
      </c>
      <c r="I112" s="139">
        <f t="shared" si="9"/>
        <v>21482.760000000002</v>
      </c>
      <c r="J112" s="143">
        <f>'2013'!Q112</f>
        <v>300</v>
      </c>
      <c r="K112" s="75"/>
      <c r="L112" s="25"/>
      <c r="M112" s="25"/>
      <c r="N112" s="25"/>
      <c r="O112" s="25"/>
      <c r="P112" s="25"/>
      <c r="Q112" s="131"/>
      <c r="R112" s="25"/>
      <c r="S112" s="25"/>
      <c r="T112" s="25"/>
      <c r="U112" s="25"/>
      <c r="V112" s="25"/>
      <c r="W112" s="121">
        <f t="shared" si="12"/>
        <v>21782.760000000002</v>
      </c>
      <c r="X112" s="1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3">
        <f t="shared" si="14"/>
        <v>0</v>
      </c>
      <c r="AK112" s="107">
        <f t="shared" si="11"/>
        <v>21782.760000000002</v>
      </c>
    </row>
    <row r="113" spans="1:37" x14ac:dyDescent="0.2">
      <c r="A113" s="94">
        <f t="shared" si="8"/>
        <v>111</v>
      </c>
      <c r="B113" s="21">
        <v>111</v>
      </c>
      <c r="C113" s="83" t="s">
        <v>88</v>
      </c>
      <c r="D113" s="48" t="s">
        <v>92</v>
      </c>
      <c r="E113" s="29">
        <v>41465</v>
      </c>
      <c r="F113" s="28">
        <v>1</v>
      </c>
      <c r="G113" s="37">
        <v>12</v>
      </c>
      <c r="H113" s="37">
        <f t="shared" si="15"/>
        <v>12</v>
      </c>
      <c r="I113" s="139">
        <f t="shared" si="9"/>
        <v>21482.760000000002</v>
      </c>
      <c r="J113" s="143">
        <f>'2013'!Q113</f>
        <v>1790.2300000000014</v>
      </c>
      <c r="K113" s="75">
        <v>1490.23</v>
      </c>
      <c r="L113" s="25"/>
      <c r="M113" s="25"/>
      <c r="N113" s="25"/>
      <c r="O113" s="25"/>
      <c r="P113" s="25"/>
      <c r="Q113" s="131"/>
      <c r="R113" s="25"/>
      <c r="S113" s="25"/>
      <c r="T113" s="25"/>
      <c r="U113" s="25"/>
      <c r="V113" s="25"/>
      <c r="W113" s="121">
        <f t="shared" si="12"/>
        <v>21782.760000000006</v>
      </c>
      <c r="X113" s="1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3">
        <f t="shared" si="14"/>
        <v>0</v>
      </c>
      <c r="AK113" s="107">
        <f t="shared" si="11"/>
        <v>21782.760000000006</v>
      </c>
    </row>
    <row r="114" spans="1:37" x14ac:dyDescent="0.2">
      <c r="A114" s="95">
        <f t="shared" si="8"/>
        <v>112</v>
      </c>
      <c r="B114" s="21">
        <v>112</v>
      </c>
      <c r="C114" s="82" t="s">
        <v>34</v>
      </c>
      <c r="D114" s="8" t="s">
        <v>61</v>
      </c>
      <c r="E114" s="29">
        <v>41444</v>
      </c>
      <c r="F114" s="28">
        <v>1</v>
      </c>
      <c r="G114" s="37">
        <v>12</v>
      </c>
      <c r="H114" s="37">
        <f t="shared" si="15"/>
        <v>12</v>
      </c>
      <c r="I114" s="139">
        <f t="shared" si="9"/>
        <v>21482.760000000002</v>
      </c>
      <c r="J114" s="143">
        <f>'2013'!Q114</f>
        <v>-1789.7700000000004</v>
      </c>
      <c r="K114" s="24"/>
      <c r="L114" s="25"/>
      <c r="M114" s="25"/>
      <c r="N114" s="25"/>
      <c r="O114" s="25"/>
      <c r="P114" s="25"/>
      <c r="Q114" s="131"/>
      <c r="R114" s="25"/>
      <c r="S114" s="25"/>
      <c r="T114" s="25"/>
      <c r="U114" s="25"/>
      <c r="V114" s="25"/>
      <c r="W114" s="121">
        <f t="shared" si="12"/>
        <v>19692.990000000002</v>
      </c>
      <c r="X114" s="24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3">
        <f t="shared" si="14"/>
        <v>0</v>
      </c>
      <c r="AK114" s="107">
        <f t="shared" si="11"/>
        <v>19692.990000000002</v>
      </c>
    </row>
    <row r="115" spans="1:37" x14ac:dyDescent="0.2">
      <c r="A115" s="95">
        <f t="shared" si="8"/>
        <v>113</v>
      </c>
      <c r="B115" s="21">
        <v>113</v>
      </c>
      <c r="C115" s="81" t="s">
        <v>118</v>
      </c>
      <c r="D115" s="46" t="s">
        <v>190</v>
      </c>
      <c r="E115" s="29">
        <v>41477</v>
      </c>
      <c r="F115" s="28">
        <v>1</v>
      </c>
      <c r="G115" s="37">
        <v>12</v>
      </c>
      <c r="H115" s="37">
        <f t="shared" si="15"/>
        <v>12</v>
      </c>
      <c r="I115" s="139">
        <f t="shared" si="9"/>
        <v>21482.760000000002</v>
      </c>
      <c r="J115" s="143">
        <f>'2013'!Q115</f>
        <v>300</v>
      </c>
      <c r="K115" s="75"/>
      <c r="L115" s="25"/>
      <c r="M115" s="25"/>
      <c r="N115" s="25"/>
      <c r="O115" s="25"/>
      <c r="P115" s="25"/>
      <c r="Q115" s="131"/>
      <c r="R115" s="25"/>
      <c r="S115" s="25"/>
      <c r="T115" s="25"/>
      <c r="U115" s="25"/>
      <c r="V115" s="25"/>
      <c r="W115" s="121">
        <f t="shared" si="12"/>
        <v>21782.760000000002</v>
      </c>
      <c r="X115" s="1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3">
        <f t="shared" si="14"/>
        <v>0</v>
      </c>
      <c r="AK115" s="107">
        <f t="shared" si="11"/>
        <v>21782.760000000002</v>
      </c>
    </row>
    <row r="116" spans="1:37" x14ac:dyDescent="0.2">
      <c r="A116" s="95">
        <f t="shared" si="8"/>
        <v>114</v>
      </c>
      <c r="B116" s="21">
        <v>114</v>
      </c>
      <c r="C116" s="81" t="s">
        <v>119</v>
      </c>
      <c r="D116" s="46" t="s">
        <v>250</v>
      </c>
      <c r="E116" s="29">
        <v>41426</v>
      </c>
      <c r="F116" s="28">
        <v>1</v>
      </c>
      <c r="G116" s="37">
        <v>12</v>
      </c>
      <c r="H116" s="37">
        <f t="shared" si="15"/>
        <v>12</v>
      </c>
      <c r="I116" s="139">
        <f t="shared" si="9"/>
        <v>21482.760000000002</v>
      </c>
      <c r="J116" s="143">
        <f>'2013'!Q116</f>
        <v>-5660.9199999999983</v>
      </c>
      <c r="K116" s="24"/>
      <c r="L116" s="23"/>
      <c r="M116" s="23"/>
      <c r="N116" s="25"/>
      <c r="O116" s="25"/>
      <c r="P116" s="25"/>
      <c r="Q116" s="131"/>
      <c r="R116" s="25"/>
      <c r="S116" s="25"/>
      <c r="T116" s="25"/>
      <c r="U116" s="25"/>
      <c r="V116" s="25"/>
      <c r="W116" s="121">
        <f t="shared" si="12"/>
        <v>15821.840000000004</v>
      </c>
      <c r="X116" s="24"/>
      <c r="Y116" s="23"/>
      <c r="Z116" s="23"/>
      <c r="AA116" s="5"/>
      <c r="AB116" s="5"/>
      <c r="AC116" s="5"/>
      <c r="AD116" s="5"/>
      <c r="AE116" s="5"/>
      <c r="AF116" s="5"/>
      <c r="AG116" s="5"/>
      <c r="AH116" s="5"/>
      <c r="AI116" s="5"/>
      <c r="AJ116" s="53">
        <f t="shared" si="14"/>
        <v>0</v>
      </c>
      <c r="AK116" s="107">
        <f t="shared" si="11"/>
        <v>15821.840000000004</v>
      </c>
    </row>
    <row r="117" spans="1:37" x14ac:dyDescent="0.2">
      <c r="A117" s="95">
        <f t="shared" si="8"/>
        <v>115</v>
      </c>
      <c r="B117" s="21">
        <v>115</v>
      </c>
      <c r="C117" s="84" t="s">
        <v>208</v>
      </c>
      <c r="D117" s="46" t="s">
        <v>263</v>
      </c>
      <c r="E117" s="29">
        <v>41426</v>
      </c>
      <c r="F117" s="28">
        <v>1</v>
      </c>
      <c r="G117" s="37">
        <v>12</v>
      </c>
      <c r="H117" s="37">
        <f t="shared" si="15"/>
        <v>12</v>
      </c>
      <c r="I117" s="139">
        <f t="shared" si="9"/>
        <v>21482.760000000002</v>
      </c>
      <c r="J117" s="143">
        <f>'2013'!Q117</f>
        <v>10731.61</v>
      </c>
      <c r="K117" s="75">
        <v>10731.61</v>
      </c>
      <c r="L117" s="25"/>
      <c r="M117" s="25"/>
      <c r="N117" s="25"/>
      <c r="O117" s="25"/>
      <c r="P117" s="25"/>
      <c r="Q117" s="131"/>
      <c r="R117" s="25"/>
      <c r="S117" s="25"/>
      <c r="T117" s="25"/>
      <c r="U117" s="25"/>
      <c r="V117" s="25"/>
      <c r="W117" s="121">
        <f t="shared" si="12"/>
        <v>21482.760000000002</v>
      </c>
      <c r="X117" s="1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3">
        <f t="shared" si="14"/>
        <v>0</v>
      </c>
      <c r="AK117" s="107">
        <f t="shared" si="11"/>
        <v>21482.760000000002</v>
      </c>
    </row>
    <row r="118" spans="1:37" x14ac:dyDescent="0.2">
      <c r="A118" s="95">
        <f t="shared" si="8"/>
        <v>116</v>
      </c>
      <c r="B118" s="21">
        <v>116</v>
      </c>
      <c r="C118" s="81" t="s">
        <v>122</v>
      </c>
      <c r="D118" s="46" t="s">
        <v>192</v>
      </c>
      <c r="E118" s="29">
        <v>41484</v>
      </c>
      <c r="F118" s="28">
        <v>1</v>
      </c>
      <c r="G118" s="37">
        <v>12</v>
      </c>
      <c r="H118" s="37">
        <f t="shared" si="15"/>
        <v>12</v>
      </c>
      <c r="I118" s="139">
        <f t="shared" si="9"/>
        <v>21482.760000000002</v>
      </c>
      <c r="J118" s="143">
        <f>'2013'!Q118</f>
        <v>-0.38999999999941792</v>
      </c>
      <c r="K118" s="75"/>
      <c r="L118" s="25"/>
      <c r="M118" s="25"/>
      <c r="N118" s="25"/>
      <c r="O118" s="25"/>
      <c r="P118" s="25"/>
      <c r="Q118" s="131"/>
      <c r="R118" s="25"/>
      <c r="S118" s="25"/>
      <c r="T118" s="25"/>
      <c r="U118" s="25"/>
      <c r="V118" s="25"/>
      <c r="W118" s="121">
        <f t="shared" si="12"/>
        <v>21482.370000000003</v>
      </c>
      <c r="X118" s="1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3">
        <f t="shared" si="14"/>
        <v>0</v>
      </c>
      <c r="AK118" s="107">
        <f t="shared" si="11"/>
        <v>21482.370000000003</v>
      </c>
    </row>
    <row r="119" spans="1:37" x14ac:dyDescent="0.2">
      <c r="A119" s="95">
        <f t="shared" si="8"/>
        <v>117</v>
      </c>
      <c r="B119" s="21">
        <v>117</v>
      </c>
      <c r="C119" s="147" t="s">
        <v>162</v>
      </c>
      <c r="D119" s="8" t="s">
        <v>163</v>
      </c>
      <c r="E119" s="29">
        <v>41451</v>
      </c>
      <c r="F119" s="28">
        <v>1</v>
      </c>
      <c r="G119" s="37">
        <v>12</v>
      </c>
      <c r="H119" s="37">
        <f t="shared" si="15"/>
        <v>12</v>
      </c>
      <c r="I119" s="139">
        <f t="shared" si="9"/>
        <v>21482.760000000002</v>
      </c>
      <c r="J119" s="143">
        <f>'2013'!Q119</f>
        <v>0.23000000000138243</v>
      </c>
      <c r="K119" s="75"/>
      <c r="L119" s="25"/>
      <c r="M119" s="25"/>
      <c r="N119" s="25"/>
      <c r="O119" s="25"/>
      <c r="P119" s="25"/>
      <c r="Q119" s="131"/>
      <c r="R119" s="25"/>
      <c r="S119" s="25"/>
      <c r="T119" s="25"/>
      <c r="U119" s="25"/>
      <c r="V119" s="25"/>
      <c r="W119" s="121">
        <f t="shared" si="12"/>
        <v>21482.990000000005</v>
      </c>
      <c r="X119" s="1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3">
        <f t="shared" si="14"/>
        <v>0</v>
      </c>
      <c r="AK119" s="107">
        <f t="shared" si="11"/>
        <v>21482.990000000005</v>
      </c>
    </row>
    <row r="120" spans="1:37" x14ac:dyDescent="0.2">
      <c r="A120" s="95">
        <f t="shared" si="8"/>
        <v>118</v>
      </c>
      <c r="B120" s="21">
        <v>118</v>
      </c>
      <c r="C120" s="82" t="s">
        <v>30</v>
      </c>
      <c r="D120" s="8" t="s">
        <v>62</v>
      </c>
      <c r="E120" s="29">
        <v>41444</v>
      </c>
      <c r="F120" s="28">
        <v>1</v>
      </c>
      <c r="G120" s="37">
        <v>12</v>
      </c>
      <c r="H120" s="37">
        <f t="shared" si="15"/>
        <v>12</v>
      </c>
      <c r="I120" s="139">
        <f t="shared" si="9"/>
        <v>21482.760000000002</v>
      </c>
      <c r="J120" s="143">
        <f>'2013'!Q120</f>
        <v>0</v>
      </c>
      <c r="K120" s="75"/>
      <c r="L120" s="25"/>
      <c r="M120" s="25"/>
      <c r="N120" s="25"/>
      <c r="O120" s="25"/>
      <c r="P120" s="25"/>
      <c r="Q120" s="131"/>
      <c r="R120" s="25"/>
      <c r="S120" s="25"/>
      <c r="T120" s="25"/>
      <c r="U120" s="25"/>
      <c r="V120" s="25"/>
      <c r="W120" s="121">
        <f t="shared" si="12"/>
        <v>21482.760000000002</v>
      </c>
      <c r="X120" s="1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3">
        <f t="shared" si="14"/>
        <v>0</v>
      </c>
      <c r="AK120" s="107">
        <f t="shared" si="11"/>
        <v>21482.760000000002</v>
      </c>
    </row>
    <row r="121" spans="1:37" x14ac:dyDescent="0.2">
      <c r="A121" s="95">
        <f t="shared" si="8"/>
        <v>119</v>
      </c>
      <c r="B121" s="21">
        <v>119</v>
      </c>
      <c r="C121" s="113" t="s">
        <v>209</v>
      </c>
      <c r="D121" s="50"/>
      <c r="E121" s="51"/>
      <c r="F121" s="28">
        <v>1</v>
      </c>
      <c r="G121" s="37">
        <v>12</v>
      </c>
      <c r="H121" s="37">
        <f t="shared" si="15"/>
        <v>12</v>
      </c>
      <c r="I121" s="139">
        <f t="shared" si="9"/>
        <v>21482.760000000002</v>
      </c>
      <c r="J121" s="143">
        <f>'2013'!Q121</f>
        <v>10731.61</v>
      </c>
      <c r="K121" s="75"/>
      <c r="L121" s="25"/>
      <c r="M121" s="25"/>
      <c r="N121" s="25"/>
      <c r="O121" s="25"/>
      <c r="P121" s="25"/>
      <c r="Q121" s="131"/>
      <c r="R121" s="25"/>
      <c r="S121" s="25"/>
      <c r="T121" s="25"/>
      <c r="U121" s="25"/>
      <c r="V121" s="25"/>
      <c r="W121" s="121">
        <f t="shared" si="12"/>
        <v>32214.370000000003</v>
      </c>
      <c r="X121" s="1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3">
        <f t="shared" si="14"/>
        <v>0</v>
      </c>
      <c r="AK121" s="107">
        <f t="shared" si="11"/>
        <v>32214.370000000003</v>
      </c>
    </row>
    <row r="122" spans="1:37" x14ac:dyDescent="0.2">
      <c r="A122" s="95">
        <f t="shared" si="8"/>
        <v>120</v>
      </c>
      <c r="B122" s="21">
        <v>120</v>
      </c>
      <c r="C122" s="82" t="s">
        <v>50</v>
      </c>
      <c r="D122" s="8" t="s">
        <v>63</v>
      </c>
      <c r="E122" s="29">
        <v>41444</v>
      </c>
      <c r="F122" s="28">
        <v>1</v>
      </c>
      <c r="G122" s="37">
        <v>12</v>
      </c>
      <c r="H122" s="37">
        <f t="shared" si="15"/>
        <v>12</v>
      </c>
      <c r="I122" s="139">
        <f t="shared" si="9"/>
        <v>21482.760000000002</v>
      </c>
      <c r="J122" s="143">
        <f>'2013'!Q122</f>
        <v>-3580.4599999999991</v>
      </c>
      <c r="K122" s="24"/>
      <c r="L122" s="23"/>
      <c r="M122" s="25"/>
      <c r="N122" s="25"/>
      <c r="O122" s="25"/>
      <c r="P122" s="25"/>
      <c r="Q122" s="131"/>
      <c r="R122" s="25"/>
      <c r="S122" s="25"/>
      <c r="T122" s="25"/>
      <c r="U122" s="25"/>
      <c r="V122" s="25"/>
      <c r="W122" s="121">
        <f t="shared" si="12"/>
        <v>17902.300000000003</v>
      </c>
      <c r="X122" s="1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3">
        <f t="shared" si="14"/>
        <v>0</v>
      </c>
      <c r="AK122" s="107">
        <f t="shared" si="11"/>
        <v>17902.300000000003</v>
      </c>
    </row>
    <row r="123" spans="1:37" x14ac:dyDescent="0.2">
      <c r="A123" s="94">
        <f t="shared" si="8"/>
        <v>121</v>
      </c>
      <c r="B123" s="21">
        <v>121</v>
      </c>
      <c r="C123" s="81" t="s">
        <v>99</v>
      </c>
      <c r="D123" s="46" t="s">
        <v>176</v>
      </c>
      <c r="E123" s="29">
        <v>41465</v>
      </c>
      <c r="F123" s="28">
        <v>1</v>
      </c>
      <c r="G123" s="37">
        <v>12</v>
      </c>
      <c r="H123" s="37">
        <f t="shared" si="15"/>
        <v>12</v>
      </c>
      <c r="I123" s="139">
        <f t="shared" si="9"/>
        <v>21482.760000000002</v>
      </c>
      <c r="J123" s="143">
        <f>'2013'!Q123</f>
        <v>-6.3099999999994907</v>
      </c>
      <c r="K123" s="75"/>
      <c r="L123" s="131"/>
      <c r="M123" s="131"/>
      <c r="N123" s="131"/>
      <c r="O123" s="25"/>
      <c r="P123" s="25"/>
      <c r="Q123" s="131"/>
      <c r="R123" s="25"/>
      <c r="S123" s="131"/>
      <c r="T123" s="131"/>
      <c r="U123" s="131"/>
      <c r="V123" s="25"/>
      <c r="W123" s="121">
        <f t="shared" si="12"/>
        <v>21476.450000000004</v>
      </c>
      <c r="X123" s="1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3">
        <f t="shared" si="14"/>
        <v>0</v>
      </c>
      <c r="AK123" s="107">
        <f t="shared" si="11"/>
        <v>21476.450000000004</v>
      </c>
    </row>
    <row r="124" spans="1:37" x14ac:dyDescent="0.2">
      <c r="A124" s="95">
        <f t="shared" si="8"/>
        <v>122</v>
      </c>
      <c r="B124" s="21">
        <v>122</v>
      </c>
      <c r="C124" s="82" t="s">
        <v>17</v>
      </c>
      <c r="D124" s="46" t="s">
        <v>174</v>
      </c>
      <c r="E124" s="29">
        <v>41422</v>
      </c>
      <c r="F124" s="28">
        <v>1</v>
      </c>
      <c r="G124" s="37">
        <v>12</v>
      </c>
      <c r="H124" s="37">
        <f t="shared" si="15"/>
        <v>12</v>
      </c>
      <c r="I124" s="139">
        <f t="shared" si="9"/>
        <v>21482.760000000002</v>
      </c>
      <c r="J124" s="143">
        <f>'2013'!Q124</f>
        <v>0</v>
      </c>
      <c r="K124" s="75"/>
      <c r="L124" s="25"/>
      <c r="M124" s="25"/>
      <c r="N124" s="25"/>
      <c r="O124" s="25"/>
      <c r="P124" s="25"/>
      <c r="Q124" s="131"/>
      <c r="R124" s="25"/>
      <c r="S124" s="25"/>
      <c r="T124" s="25"/>
      <c r="U124" s="25"/>
      <c r="V124" s="25"/>
      <c r="W124" s="121">
        <f t="shared" si="12"/>
        <v>21482.760000000002</v>
      </c>
      <c r="X124" s="1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3">
        <f t="shared" si="14"/>
        <v>0</v>
      </c>
      <c r="AK124" s="107">
        <f t="shared" si="11"/>
        <v>21482.760000000002</v>
      </c>
    </row>
    <row r="125" spans="1:37" x14ac:dyDescent="0.2">
      <c r="A125" s="95">
        <f t="shared" si="8"/>
        <v>123</v>
      </c>
      <c r="B125" s="21">
        <v>123</v>
      </c>
      <c r="C125" s="82" t="s">
        <v>41</v>
      </c>
      <c r="D125" s="46" t="s">
        <v>169</v>
      </c>
      <c r="E125" s="29">
        <v>41498</v>
      </c>
      <c r="F125" s="28">
        <v>1</v>
      </c>
      <c r="G125" s="37">
        <v>12</v>
      </c>
      <c r="H125" s="37">
        <f t="shared" si="15"/>
        <v>12</v>
      </c>
      <c r="I125" s="139">
        <f t="shared" si="9"/>
        <v>21482.760000000002</v>
      </c>
      <c r="J125" s="143">
        <f>'2013'!Q125</f>
        <v>10731.61</v>
      </c>
      <c r="K125" s="75"/>
      <c r="L125" s="25"/>
      <c r="M125" s="25"/>
      <c r="N125" s="25"/>
      <c r="O125" s="25"/>
      <c r="P125" s="25"/>
      <c r="Q125" s="131"/>
      <c r="R125" s="25"/>
      <c r="S125" s="25"/>
      <c r="T125" s="25"/>
      <c r="U125" s="25"/>
      <c r="V125" s="25"/>
      <c r="W125" s="121">
        <f t="shared" si="12"/>
        <v>32214.370000000003</v>
      </c>
      <c r="X125" s="1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3">
        <f t="shared" si="14"/>
        <v>0</v>
      </c>
      <c r="AK125" s="107">
        <f t="shared" si="11"/>
        <v>32214.370000000003</v>
      </c>
    </row>
    <row r="126" spans="1:37" x14ac:dyDescent="0.2">
      <c r="A126" s="95">
        <f t="shared" si="8"/>
        <v>124</v>
      </c>
      <c r="B126" s="21">
        <v>124</v>
      </c>
      <c r="C126" s="82" t="s">
        <v>69</v>
      </c>
      <c r="D126" s="8" t="s">
        <v>70</v>
      </c>
      <c r="E126" s="29">
        <v>41445</v>
      </c>
      <c r="F126" s="28">
        <v>1</v>
      </c>
      <c r="G126" s="37">
        <v>12</v>
      </c>
      <c r="H126" s="37">
        <f t="shared" si="15"/>
        <v>12</v>
      </c>
      <c r="I126" s="139">
        <f t="shared" si="9"/>
        <v>21482.760000000002</v>
      </c>
      <c r="J126" s="143">
        <f>'2013'!Q126</f>
        <v>-1190.2299999999996</v>
      </c>
      <c r="K126" s="75"/>
      <c r="L126" s="25"/>
      <c r="M126" s="25"/>
      <c r="N126" s="25"/>
      <c r="O126" s="25"/>
      <c r="P126" s="25"/>
      <c r="Q126" s="131"/>
      <c r="R126" s="25"/>
      <c r="S126" s="25"/>
      <c r="T126" s="25"/>
      <c r="U126" s="25"/>
      <c r="V126" s="25"/>
      <c r="W126" s="121">
        <f t="shared" si="12"/>
        <v>20292.530000000002</v>
      </c>
      <c r="X126" s="24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3">
        <f t="shared" si="14"/>
        <v>0</v>
      </c>
      <c r="AK126" s="107">
        <f t="shared" si="11"/>
        <v>20292.530000000002</v>
      </c>
    </row>
    <row r="127" spans="1:37" x14ac:dyDescent="0.2">
      <c r="A127" s="95">
        <f t="shared" si="8"/>
        <v>125</v>
      </c>
      <c r="B127" s="21">
        <v>125</v>
      </c>
      <c r="C127" s="81" t="s">
        <v>127</v>
      </c>
      <c r="D127" s="46" t="s">
        <v>173</v>
      </c>
      <c r="E127" s="29">
        <v>41498</v>
      </c>
      <c r="F127" s="28">
        <v>1</v>
      </c>
      <c r="G127" s="37">
        <v>12</v>
      </c>
      <c r="H127" s="37">
        <f t="shared" si="15"/>
        <v>12</v>
      </c>
      <c r="I127" s="139">
        <f t="shared" si="9"/>
        <v>21482.760000000002</v>
      </c>
      <c r="J127" s="143">
        <f>'2013'!Q127</f>
        <v>-2980.4599999999991</v>
      </c>
      <c r="K127" s="24"/>
      <c r="L127" s="25"/>
      <c r="M127" s="25"/>
      <c r="N127" s="25"/>
      <c r="O127" s="25"/>
      <c r="P127" s="25"/>
      <c r="Q127" s="131"/>
      <c r="R127" s="25"/>
      <c r="S127" s="25"/>
      <c r="T127" s="25"/>
      <c r="U127" s="25"/>
      <c r="V127" s="25"/>
      <c r="W127" s="121">
        <f t="shared" si="12"/>
        <v>18502.300000000003</v>
      </c>
      <c r="X127" s="1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3">
        <f t="shared" si="14"/>
        <v>0</v>
      </c>
      <c r="AK127" s="107">
        <f t="shared" si="11"/>
        <v>18502.300000000003</v>
      </c>
    </row>
    <row r="128" spans="1:37" x14ac:dyDescent="0.2">
      <c r="A128" s="95">
        <f t="shared" si="8"/>
        <v>126</v>
      </c>
      <c r="B128" s="21">
        <v>126</v>
      </c>
      <c r="C128" s="111" t="s">
        <v>128</v>
      </c>
      <c r="D128" s="50"/>
      <c r="E128" s="51"/>
      <c r="F128" s="28">
        <v>1</v>
      </c>
      <c r="G128" s="37">
        <v>12</v>
      </c>
      <c r="H128" s="37">
        <f t="shared" si="15"/>
        <v>12</v>
      </c>
      <c r="I128" s="139">
        <f t="shared" si="9"/>
        <v>21482.760000000002</v>
      </c>
      <c r="J128" s="143">
        <f>'2013'!Q128</f>
        <v>0</v>
      </c>
      <c r="K128" s="75"/>
      <c r="L128" s="25"/>
      <c r="M128" s="25"/>
      <c r="N128" s="25"/>
      <c r="O128" s="25"/>
      <c r="P128" s="25"/>
      <c r="Q128" s="131"/>
      <c r="R128" s="25"/>
      <c r="S128" s="25"/>
      <c r="T128" s="25"/>
      <c r="U128" s="25"/>
      <c r="V128" s="25"/>
      <c r="W128" s="121">
        <f t="shared" si="12"/>
        <v>21482.760000000002</v>
      </c>
      <c r="X128" s="1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3">
        <f t="shared" si="14"/>
        <v>0</v>
      </c>
      <c r="AK128" s="107">
        <f t="shared" si="11"/>
        <v>21482.760000000002</v>
      </c>
    </row>
    <row r="129" spans="1:37" x14ac:dyDescent="0.2">
      <c r="A129" s="95">
        <f t="shared" si="8"/>
        <v>127</v>
      </c>
      <c r="B129" s="21">
        <v>127</v>
      </c>
      <c r="C129" s="111" t="s">
        <v>129</v>
      </c>
      <c r="D129" s="50"/>
      <c r="E129" s="51"/>
      <c r="F129" s="28">
        <v>1</v>
      </c>
      <c r="G129" s="37">
        <v>12</v>
      </c>
      <c r="H129" s="37">
        <f t="shared" si="15"/>
        <v>12</v>
      </c>
      <c r="I129" s="139">
        <f t="shared" si="9"/>
        <v>21482.760000000002</v>
      </c>
      <c r="J129" s="143">
        <f>'2013'!Q129</f>
        <v>1.0000000002037268E-2</v>
      </c>
      <c r="K129" s="75"/>
      <c r="L129" s="25"/>
      <c r="M129" s="25"/>
      <c r="N129" s="25"/>
      <c r="O129" s="25"/>
      <c r="P129" s="25"/>
      <c r="Q129" s="131"/>
      <c r="R129" s="25"/>
      <c r="S129" s="25"/>
      <c r="T129" s="25"/>
      <c r="U129" s="25"/>
      <c r="V129" s="25"/>
      <c r="W129" s="121">
        <f t="shared" si="12"/>
        <v>21482.770000000004</v>
      </c>
      <c r="X129" s="1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3">
        <f t="shared" si="14"/>
        <v>0</v>
      </c>
      <c r="AK129" s="107">
        <f t="shared" si="11"/>
        <v>21482.770000000004</v>
      </c>
    </row>
    <row r="130" spans="1:37" x14ac:dyDescent="0.2">
      <c r="A130" s="95">
        <f t="shared" si="8"/>
        <v>128</v>
      </c>
      <c r="B130" s="22">
        <v>128</v>
      </c>
      <c r="C130" s="97" t="s">
        <v>202</v>
      </c>
      <c r="D130" s="50"/>
      <c r="E130" s="51"/>
      <c r="F130" s="26">
        <v>1</v>
      </c>
      <c r="G130" s="27">
        <v>12</v>
      </c>
      <c r="H130" s="37">
        <f t="shared" si="15"/>
        <v>12</v>
      </c>
      <c r="I130" s="139">
        <f t="shared" si="9"/>
        <v>21482.760000000002</v>
      </c>
      <c r="J130" s="143">
        <f>'2013'!Q130</f>
        <v>10731.61</v>
      </c>
      <c r="K130" s="75"/>
      <c r="L130" s="25"/>
      <c r="M130" s="25"/>
      <c r="N130" s="25"/>
      <c r="O130" s="25"/>
      <c r="P130" s="25"/>
      <c r="Q130" s="131"/>
      <c r="R130" s="25"/>
      <c r="S130" s="25"/>
      <c r="T130" s="25"/>
      <c r="U130" s="25"/>
      <c r="V130" s="25"/>
      <c r="W130" s="121">
        <f t="shared" si="12"/>
        <v>32214.370000000003</v>
      </c>
      <c r="X130" s="1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3">
        <f t="shared" si="14"/>
        <v>0</v>
      </c>
      <c r="AK130" s="107">
        <f t="shared" si="11"/>
        <v>32214.370000000003</v>
      </c>
    </row>
    <row r="131" spans="1:37" x14ac:dyDescent="0.2">
      <c r="A131" s="95">
        <f t="shared" ref="A131:A192" si="16">SUM(A130+1)</f>
        <v>129</v>
      </c>
      <c r="B131" s="21">
        <v>129</v>
      </c>
      <c r="C131" s="111" t="s">
        <v>130</v>
      </c>
      <c r="D131" s="50"/>
      <c r="E131" s="51"/>
      <c r="F131" s="28">
        <v>1</v>
      </c>
      <c r="G131" s="27">
        <v>12</v>
      </c>
      <c r="H131" s="37">
        <f t="shared" si="15"/>
        <v>12</v>
      </c>
      <c r="I131" s="139">
        <f t="shared" ref="I131:I194" si="17">SUM(H131*$I$1)</f>
        <v>21482.760000000002</v>
      </c>
      <c r="J131" s="143">
        <f>'2013'!Q131</f>
        <v>10731.61</v>
      </c>
      <c r="K131" s="75"/>
      <c r="L131" s="25"/>
      <c r="M131" s="25"/>
      <c r="N131" s="25"/>
      <c r="O131" s="25"/>
      <c r="P131" s="25"/>
      <c r="Q131" s="131"/>
      <c r="R131" s="25"/>
      <c r="S131" s="25"/>
      <c r="T131" s="25"/>
      <c r="U131" s="25"/>
      <c r="V131" s="25"/>
      <c r="W131" s="121">
        <f t="shared" si="12"/>
        <v>32214.370000000003</v>
      </c>
      <c r="X131" s="1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3">
        <f t="shared" ref="AJ131:AJ162" si="18">SUM(X131:AI131)</f>
        <v>0</v>
      </c>
      <c r="AK131" s="107">
        <f t="shared" ref="AK131:AK194" si="19">AJ131+W131</f>
        <v>32214.370000000003</v>
      </c>
    </row>
    <row r="132" spans="1:37" x14ac:dyDescent="0.2">
      <c r="A132" s="95">
        <f t="shared" si="16"/>
        <v>130</v>
      </c>
      <c r="B132" s="21">
        <v>130</v>
      </c>
      <c r="C132" s="81" t="s">
        <v>28</v>
      </c>
      <c r="D132" s="8" t="s">
        <v>29</v>
      </c>
      <c r="E132" s="29">
        <v>41429</v>
      </c>
      <c r="F132" s="28">
        <v>1</v>
      </c>
      <c r="G132" s="37">
        <v>12</v>
      </c>
      <c r="H132" s="37">
        <f t="shared" si="15"/>
        <v>12</v>
      </c>
      <c r="I132" s="139">
        <f t="shared" si="17"/>
        <v>21482.760000000002</v>
      </c>
      <c r="J132" s="143">
        <f>'2013'!Q132</f>
        <v>4770.6900000000005</v>
      </c>
      <c r="K132" s="75"/>
      <c r="L132" s="25"/>
      <c r="M132" s="25"/>
      <c r="N132" s="25"/>
      <c r="O132" s="25"/>
      <c r="P132" s="25"/>
      <c r="Q132" s="131"/>
      <c r="R132" s="25"/>
      <c r="S132" s="25"/>
      <c r="T132" s="25"/>
      <c r="U132" s="25"/>
      <c r="V132" s="25"/>
      <c r="W132" s="121">
        <f t="shared" ref="W132:W195" si="20">I132+J132-SUM(K132:V132)</f>
        <v>26253.450000000004</v>
      </c>
      <c r="X132" s="1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3">
        <f t="shared" si="18"/>
        <v>0</v>
      </c>
      <c r="AK132" s="107">
        <f t="shared" si="19"/>
        <v>26253.450000000004</v>
      </c>
    </row>
    <row r="133" spans="1:37" x14ac:dyDescent="0.2">
      <c r="A133" s="94">
        <f t="shared" si="16"/>
        <v>131</v>
      </c>
      <c r="B133" s="21">
        <v>131</v>
      </c>
      <c r="C133" s="111" t="s">
        <v>132</v>
      </c>
      <c r="D133" s="50"/>
      <c r="E133" s="51"/>
      <c r="F133" s="28">
        <v>1</v>
      </c>
      <c r="G133" s="27">
        <v>12</v>
      </c>
      <c r="H133" s="37">
        <f t="shared" si="15"/>
        <v>12</v>
      </c>
      <c r="I133" s="139">
        <f t="shared" si="17"/>
        <v>21482.760000000002</v>
      </c>
      <c r="J133" s="143">
        <f>'2013'!Q133</f>
        <v>4770.6900000000005</v>
      </c>
      <c r="K133" s="75"/>
      <c r="L133" s="25"/>
      <c r="M133" s="25"/>
      <c r="N133" s="25"/>
      <c r="O133" s="25"/>
      <c r="P133" s="25"/>
      <c r="Q133" s="131"/>
      <c r="R133" s="25"/>
      <c r="S133" s="25"/>
      <c r="T133" s="25"/>
      <c r="U133" s="25"/>
      <c r="V133" s="25"/>
      <c r="W133" s="121">
        <f t="shared" si="20"/>
        <v>26253.450000000004</v>
      </c>
      <c r="X133" s="1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3">
        <f t="shared" si="18"/>
        <v>0</v>
      </c>
      <c r="AK133" s="107">
        <f t="shared" si="19"/>
        <v>26253.450000000004</v>
      </c>
    </row>
    <row r="134" spans="1:37" x14ac:dyDescent="0.2">
      <c r="A134" s="95">
        <f t="shared" si="16"/>
        <v>132</v>
      </c>
      <c r="B134" s="21">
        <v>132</v>
      </c>
      <c r="C134" s="111" t="s">
        <v>131</v>
      </c>
      <c r="D134" s="50"/>
      <c r="E134" s="51"/>
      <c r="F134" s="28">
        <v>1</v>
      </c>
      <c r="G134" s="37">
        <v>12</v>
      </c>
      <c r="H134" s="37">
        <f>G134-F134+1</f>
        <v>12</v>
      </c>
      <c r="I134" s="139">
        <f t="shared" si="17"/>
        <v>21482.760000000002</v>
      </c>
      <c r="J134" s="143">
        <f>'2013'!Q134</f>
        <v>1.8189894035458565E-12</v>
      </c>
      <c r="K134" s="75"/>
      <c r="L134" s="25"/>
      <c r="M134" s="25"/>
      <c r="N134" s="25"/>
      <c r="O134" s="25"/>
      <c r="P134" s="25"/>
      <c r="Q134" s="131"/>
      <c r="R134" s="25"/>
      <c r="S134" s="25"/>
      <c r="T134" s="25"/>
      <c r="U134" s="25"/>
      <c r="V134" s="25"/>
      <c r="W134" s="121">
        <f t="shared" si="20"/>
        <v>21482.760000000002</v>
      </c>
      <c r="X134" s="1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3">
        <f t="shared" si="18"/>
        <v>0</v>
      </c>
      <c r="AK134" s="107">
        <f t="shared" si="19"/>
        <v>21482.760000000002</v>
      </c>
    </row>
    <row r="135" spans="1:37" hidden="1" x14ac:dyDescent="0.2">
      <c r="A135" s="95">
        <f t="shared" si="16"/>
        <v>133</v>
      </c>
      <c r="B135" s="21">
        <v>133</v>
      </c>
      <c r="C135" s="108"/>
      <c r="D135" s="109"/>
      <c r="E135" s="110"/>
      <c r="F135" s="18"/>
      <c r="G135" s="14"/>
      <c r="H135" s="2"/>
      <c r="I135" s="139">
        <f t="shared" si="17"/>
        <v>0</v>
      </c>
      <c r="J135" s="143">
        <f>'2013'!Q135</f>
        <v>0</v>
      </c>
      <c r="K135" s="7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121">
        <f t="shared" si="20"/>
        <v>0</v>
      </c>
      <c r="X135" s="1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3">
        <f t="shared" si="18"/>
        <v>0</v>
      </c>
      <c r="AK135" s="33">
        <f t="shared" si="19"/>
        <v>0</v>
      </c>
    </row>
    <row r="136" spans="1:37" hidden="1" x14ac:dyDescent="0.2">
      <c r="A136" s="95">
        <f t="shared" si="16"/>
        <v>134</v>
      </c>
      <c r="B136" s="21">
        <v>134</v>
      </c>
      <c r="C136" s="108"/>
      <c r="D136" s="109"/>
      <c r="E136" s="110"/>
      <c r="F136" s="18"/>
      <c r="G136" s="14"/>
      <c r="H136" s="2"/>
      <c r="I136" s="139">
        <f t="shared" si="17"/>
        <v>0</v>
      </c>
      <c r="J136" s="143">
        <f>'2013'!Q136</f>
        <v>0</v>
      </c>
      <c r="K136" s="7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121">
        <f t="shared" si="20"/>
        <v>0</v>
      </c>
      <c r="X136" s="1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3">
        <f t="shared" si="18"/>
        <v>0</v>
      </c>
      <c r="AK136" s="33">
        <f t="shared" si="19"/>
        <v>0</v>
      </c>
    </row>
    <row r="137" spans="1:37" x14ac:dyDescent="0.2">
      <c r="A137" s="95">
        <f t="shared" si="16"/>
        <v>135</v>
      </c>
      <c r="B137" s="21">
        <v>135</v>
      </c>
      <c r="C137" s="89" t="s">
        <v>83</v>
      </c>
      <c r="D137" s="49" t="s">
        <v>82</v>
      </c>
      <c r="E137" s="29">
        <v>41451</v>
      </c>
      <c r="F137" s="28">
        <v>1</v>
      </c>
      <c r="G137" s="37">
        <v>12</v>
      </c>
      <c r="H137" s="37">
        <f>SUM(G137-F137)+1</f>
        <v>12</v>
      </c>
      <c r="I137" s="139">
        <f t="shared" si="17"/>
        <v>21482.760000000002</v>
      </c>
      <c r="J137" s="143">
        <f>'2013'!Q137</f>
        <v>-1890</v>
      </c>
      <c r="K137" s="24"/>
      <c r="L137" s="25"/>
      <c r="M137" s="25"/>
      <c r="N137" s="25"/>
      <c r="O137" s="25"/>
      <c r="P137" s="25"/>
      <c r="Q137" s="131"/>
      <c r="R137" s="25"/>
      <c r="S137" s="25"/>
      <c r="T137" s="25"/>
      <c r="U137" s="25"/>
      <c r="V137" s="25"/>
      <c r="W137" s="121">
        <f t="shared" si="20"/>
        <v>19592.760000000002</v>
      </c>
      <c r="X137" s="24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3">
        <f t="shared" si="18"/>
        <v>0</v>
      </c>
      <c r="AK137" s="107">
        <f t="shared" si="19"/>
        <v>19592.760000000002</v>
      </c>
    </row>
    <row r="138" spans="1:37" hidden="1" x14ac:dyDescent="0.2">
      <c r="A138" s="95">
        <f t="shared" si="16"/>
        <v>136</v>
      </c>
      <c r="B138" s="21">
        <v>136</v>
      </c>
      <c r="C138" s="108"/>
      <c r="D138" s="109"/>
      <c r="E138" s="110"/>
      <c r="F138" s="18"/>
      <c r="G138" s="14"/>
      <c r="H138" s="2"/>
      <c r="I138" s="139">
        <f t="shared" si="17"/>
        <v>0</v>
      </c>
      <c r="J138" s="143">
        <f>'2013'!Q138</f>
        <v>0</v>
      </c>
      <c r="K138" s="75"/>
      <c r="L138" s="75"/>
      <c r="M138" s="25"/>
      <c r="N138" s="25"/>
      <c r="O138" s="25"/>
      <c r="P138" s="25"/>
      <c r="Q138" s="25"/>
      <c r="R138" s="25"/>
      <c r="S138" s="75"/>
      <c r="T138" s="25"/>
      <c r="U138" s="25"/>
      <c r="V138" s="25"/>
      <c r="W138" s="121">
        <f t="shared" si="20"/>
        <v>0</v>
      </c>
      <c r="X138" s="1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3">
        <f t="shared" si="18"/>
        <v>0</v>
      </c>
      <c r="AK138" s="33">
        <f t="shared" si="19"/>
        <v>0</v>
      </c>
    </row>
    <row r="139" spans="1:37" hidden="1" x14ac:dyDescent="0.2">
      <c r="A139" s="95">
        <f t="shared" si="16"/>
        <v>137</v>
      </c>
      <c r="B139" s="21">
        <v>137</v>
      </c>
      <c r="C139" s="108"/>
      <c r="D139" s="109"/>
      <c r="E139" s="110"/>
      <c r="F139" s="18"/>
      <c r="G139" s="14"/>
      <c r="H139" s="2"/>
      <c r="I139" s="139">
        <f t="shared" si="17"/>
        <v>0</v>
      </c>
      <c r="J139" s="143">
        <f>'2013'!Q139</f>
        <v>0</v>
      </c>
      <c r="K139" s="7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121">
        <f t="shared" si="20"/>
        <v>0</v>
      </c>
      <c r="X139" s="1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3">
        <f t="shared" si="18"/>
        <v>0</v>
      </c>
      <c r="AK139" s="33">
        <f t="shared" si="19"/>
        <v>0</v>
      </c>
    </row>
    <row r="140" spans="1:37" hidden="1" x14ac:dyDescent="0.2">
      <c r="A140" s="95">
        <f t="shared" si="16"/>
        <v>138</v>
      </c>
      <c r="B140" s="21">
        <v>138</v>
      </c>
      <c r="C140" s="108"/>
      <c r="D140" s="109"/>
      <c r="E140" s="110"/>
      <c r="F140" s="18"/>
      <c r="G140" s="14"/>
      <c r="H140" s="2"/>
      <c r="I140" s="139">
        <f t="shared" si="17"/>
        <v>0</v>
      </c>
      <c r="J140" s="143">
        <f>'2013'!Q140</f>
        <v>0</v>
      </c>
      <c r="K140" s="7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121">
        <f t="shared" si="20"/>
        <v>0</v>
      </c>
      <c r="X140" s="1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3">
        <f t="shared" si="18"/>
        <v>0</v>
      </c>
      <c r="AK140" s="33">
        <f t="shared" si="19"/>
        <v>0</v>
      </c>
    </row>
    <row r="141" spans="1:37" x14ac:dyDescent="0.2">
      <c r="A141" s="95">
        <f t="shared" si="16"/>
        <v>139</v>
      </c>
      <c r="B141" s="21">
        <v>139</v>
      </c>
      <c r="C141" s="84" t="s">
        <v>221</v>
      </c>
      <c r="D141" s="46" t="s">
        <v>238</v>
      </c>
      <c r="E141" s="29">
        <v>41547</v>
      </c>
      <c r="F141" s="28">
        <v>1</v>
      </c>
      <c r="G141" s="37">
        <v>12</v>
      </c>
      <c r="H141" s="37">
        <f>SUM(G141-F141)+1</f>
        <v>12</v>
      </c>
      <c r="I141" s="139">
        <f t="shared" si="17"/>
        <v>21482.760000000002</v>
      </c>
      <c r="J141" s="143">
        <f>'2013'!Q141</f>
        <v>-9.0949470177292824E-13</v>
      </c>
      <c r="K141" s="75"/>
      <c r="L141" s="25"/>
      <c r="M141" s="25"/>
      <c r="N141" s="25"/>
      <c r="O141" s="25"/>
      <c r="P141" s="25"/>
      <c r="Q141" s="131"/>
      <c r="R141" s="25"/>
      <c r="S141" s="25"/>
      <c r="T141" s="25"/>
      <c r="U141" s="25"/>
      <c r="V141" s="25"/>
      <c r="W141" s="121">
        <f t="shared" si="20"/>
        <v>21482.760000000002</v>
      </c>
      <c r="X141" s="1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3">
        <f t="shared" si="18"/>
        <v>0</v>
      </c>
      <c r="AK141" s="107">
        <f t="shared" si="19"/>
        <v>21482.760000000002</v>
      </c>
    </row>
    <row r="142" spans="1:37" x14ac:dyDescent="0.2">
      <c r="A142" s="95">
        <f t="shared" si="16"/>
        <v>140</v>
      </c>
      <c r="B142" s="21">
        <v>140</v>
      </c>
      <c r="C142" s="87" t="s">
        <v>85</v>
      </c>
      <c r="D142" s="44" t="s">
        <v>90</v>
      </c>
      <c r="E142" s="45">
        <v>41458</v>
      </c>
      <c r="F142" s="28">
        <v>1</v>
      </c>
      <c r="G142" s="37">
        <v>12</v>
      </c>
      <c r="H142" s="37">
        <f>SUM(G142-F142)+1</f>
        <v>12</v>
      </c>
      <c r="I142" s="139">
        <f t="shared" si="17"/>
        <v>21482.760000000002</v>
      </c>
      <c r="J142" s="143">
        <f>'2013'!Q142</f>
        <v>-21482.759999999995</v>
      </c>
      <c r="K142" s="24"/>
      <c r="L142" s="23"/>
      <c r="M142" s="23"/>
      <c r="N142" s="23"/>
      <c r="O142" s="23"/>
      <c r="P142" s="23"/>
      <c r="Q142" s="36"/>
      <c r="R142" s="23"/>
      <c r="S142" s="23"/>
      <c r="T142" s="23"/>
      <c r="U142" s="23"/>
      <c r="V142" s="23"/>
      <c r="W142" s="121">
        <f t="shared" si="20"/>
        <v>7.2759576141834259E-12</v>
      </c>
      <c r="X142" s="1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3">
        <f t="shared" si="18"/>
        <v>0</v>
      </c>
      <c r="AK142" s="107">
        <f t="shared" si="19"/>
        <v>7.2759576141834259E-12</v>
      </c>
    </row>
    <row r="143" spans="1:37" hidden="1" x14ac:dyDescent="0.2">
      <c r="A143" s="94">
        <f t="shared" si="16"/>
        <v>141</v>
      </c>
      <c r="B143" s="21">
        <v>141</v>
      </c>
      <c r="C143" s="108"/>
      <c r="D143" s="109"/>
      <c r="E143" s="110"/>
      <c r="F143" s="18"/>
      <c r="G143" s="14"/>
      <c r="H143" s="2"/>
      <c r="I143" s="139">
        <f t="shared" si="17"/>
        <v>0</v>
      </c>
      <c r="J143" s="143">
        <f>'2013'!Q143</f>
        <v>0</v>
      </c>
      <c r="K143" s="7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121">
        <f t="shared" si="20"/>
        <v>0</v>
      </c>
      <c r="X143" s="1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3">
        <f t="shared" si="18"/>
        <v>0</v>
      </c>
      <c r="AK143" s="33">
        <f t="shared" si="19"/>
        <v>0</v>
      </c>
    </row>
    <row r="144" spans="1:37" hidden="1" x14ac:dyDescent="0.2">
      <c r="A144" s="95">
        <f t="shared" si="16"/>
        <v>142</v>
      </c>
      <c r="B144" s="21">
        <v>142</v>
      </c>
      <c r="C144" s="108"/>
      <c r="D144" s="109"/>
      <c r="E144" s="110"/>
      <c r="F144" s="18"/>
      <c r="G144" s="14"/>
      <c r="H144" s="2"/>
      <c r="I144" s="139">
        <f t="shared" si="17"/>
        <v>0</v>
      </c>
      <c r="J144" s="143">
        <f>'2013'!Q144</f>
        <v>0</v>
      </c>
      <c r="K144" s="7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121">
        <f t="shared" si="20"/>
        <v>0</v>
      </c>
      <c r="X144" s="1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3">
        <f t="shared" si="18"/>
        <v>0</v>
      </c>
      <c r="AK144" s="33">
        <f t="shared" si="19"/>
        <v>0</v>
      </c>
    </row>
    <row r="145" spans="1:37" hidden="1" x14ac:dyDescent="0.2">
      <c r="A145" s="95">
        <f t="shared" si="16"/>
        <v>143</v>
      </c>
      <c r="B145" s="21">
        <v>143</v>
      </c>
      <c r="C145" s="108"/>
      <c r="D145" s="109"/>
      <c r="E145" s="110"/>
      <c r="F145" s="18"/>
      <c r="G145" s="14"/>
      <c r="H145" s="2"/>
      <c r="I145" s="139">
        <f t="shared" si="17"/>
        <v>0</v>
      </c>
      <c r="J145" s="143">
        <f>'2013'!Q145</f>
        <v>0</v>
      </c>
      <c r="K145" s="7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121">
        <f t="shared" si="20"/>
        <v>0</v>
      </c>
      <c r="X145" s="1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3">
        <f t="shared" si="18"/>
        <v>0</v>
      </c>
      <c r="AK145" s="33">
        <f t="shared" si="19"/>
        <v>0</v>
      </c>
    </row>
    <row r="146" spans="1:37" hidden="1" x14ac:dyDescent="0.2">
      <c r="A146" s="95">
        <f t="shared" si="16"/>
        <v>144</v>
      </c>
      <c r="B146" s="21">
        <v>144</v>
      </c>
      <c r="C146" s="108"/>
      <c r="D146" s="109"/>
      <c r="E146" s="110"/>
      <c r="F146" s="18"/>
      <c r="G146" s="14"/>
      <c r="H146" s="2"/>
      <c r="I146" s="139">
        <f t="shared" si="17"/>
        <v>0</v>
      </c>
      <c r="J146" s="143">
        <f>'2013'!Q146</f>
        <v>0</v>
      </c>
      <c r="K146" s="7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121">
        <f t="shared" si="20"/>
        <v>0</v>
      </c>
      <c r="X146" s="1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3">
        <f t="shared" si="18"/>
        <v>0</v>
      </c>
      <c r="AK146" s="33">
        <f t="shared" si="19"/>
        <v>0</v>
      </c>
    </row>
    <row r="147" spans="1:37" x14ac:dyDescent="0.2">
      <c r="A147" s="95">
        <f t="shared" si="16"/>
        <v>145</v>
      </c>
      <c r="B147" s="21">
        <v>145</v>
      </c>
      <c r="C147" s="81" t="s">
        <v>133</v>
      </c>
      <c r="D147" s="46" t="s">
        <v>167</v>
      </c>
      <c r="E147" s="29">
        <v>41491</v>
      </c>
      <c r="F147" s="28">
        <v>1</v>
      </c>
      <c r="G147" s="37">
        <v>12</v>
      </c>
      <c r="H147" s="37">
        <f>SUM(G147-F147)+1</f>
        <v>12</v>
      </c>
      <c r="I147" s="139">
        <f t="shared" si="17"/>
        <v>21482.760000000002</v>
      </c>
      <c r="J147" s="143">
        <f>'2013'!Q147</f>
        <v>0</v>
      </c>
      <c r="K147" s="75"/>
      <c r="L147" s="25"/>
      <c r="M147" s="25"/>
      <c r="N147" s="25"/>
      <c r="O147" s="25"/>
      <c r="P147" s="25"/>
      <c r="Q147" s="131"/>
      <c r="R147" s="25"/>
      <c r="S147" s="25"/>
      <c r="T147" s="25"/>
      <c r="U147" s="25"/>
      <c r="V147" s="25"/>
      <c r="W147" s="121">
        <f t="shared" si="20"/>
        <v>21482.760000000002</v>
      </c>
      <c r="X147" s="1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3">
        <f t="shared" si="18"/>
        <v>0</v>
      </c>
      <c r="AK147" s="107">
        <f t="shared" si="19"/>
        <v>21482.760000000002</v>
      </c>
    </row>
    <row r="148" spans="1:37" hidden="1" x14ac:dyDescent="0.2">
      <c r="A148" s="95">
        <f t="shared" si="16"/>
        <v>146</v>
      </c>
      <c r="B148" s="21">
        <v>146</v>
      </c>
      <c r="C148" s="108"/>
      <c r="D148" s="109"/>
      <c r="E148" s="110"/>
      <c r="F148" s="18"/>
      <c r="G148" s="14"/>
      <c r="H148" s="2"/>
      <c r="I148" s="139">
        <f t="shared" si="17"/>
        <v>0</v>
      </c>
      <c r="J148" s="143">
        <f>'2013'!Q148</f>
        <v>0</v>
      </c>
      <c r="K148" s="7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121">
        <f t="shared" si="20"/>
        <v>0</v>
      </c>
      <c r="X148" s="1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3">
        <f t="shared" si="18"/>
        <v>0</v>
      </c>
      <c r="AK148" s="33">
        <f t="shared" si="19"/>
        <v>0</v>
      </c>
    </row>
    <row r="149" spans="1:37" hidden="1" x14ac:dyDescent="0.2">
      <c r="A149" s="95">
        <f t="shared" si="16"/>
        <v>147</v>
      </c>
      <c r="B149" s="21">
        <v>147</v>
      </c>
      <c r="C149" s="108"/>
      <c r="D149" s="109"/>
      <c r="E149" s="110"/>
      <c r="F149" s="18"/>
      <c r="G149" s="14"/>
      <c r="H149" s="2"/>
      <c r="I149" s="139">
        <f t="shared" si="17"/>
        <v>0</v>
      </c>
      <c r="J149" s="143">
        <f>'2013'!Q149</f>
        <v>0</v>
      </c>
      <c r="K149" s="7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121">
        <f t="shared" si="20"/>
        <v>0</v>
      </c>
      <c r="X149" s="1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3">
        <f t="shared" si="18"/>
        <v>0</v>
      </c>
      <c r="AK149" s="33">
        <f t="shared" si="19"/>
        <v>0</v>
      </c>
    </row>
    <row r="150" spans="1:37" x14ac:dyDescent="0.2">
      <c r="A150" s="95">
        <f t="shared" si="16"/>
        <v>148</v>
      </c>
      <c r="B150" s="21">
        <v>148</v>
      </c>
      <c r="C150" s="112" t="s">
        <v>222</v>
      </c>
      <c r="D150" s="109"/>
      <c r="E150" s="110"/>
      <c r="F150" s="28">
        <v>1</v>
      </c>
      <c r="G150" s="79">
        <v>12</v>
      </c>
      <c r="H150" s="79">
        <f t="shared" ref="H150:H166" si="21">SUM(G150-F150)+1</f>
        <v>12</v>
      </c>
      <c r="I150" s="139">
        <f t="shared" si="17"/>
        <v>21482.760000000002</v>
      </c>
      <c r="J150" s="143">
        <f>'2013'!Q150</f>
        <v>9.0949470177292824E-13</v>
      </c>
      <c r="K150" s="75"/>
      <c r="L150" s="25"/>
      <c r="M150" s="25"/>
      <c r="N150" s="25"/>
      <c r="O150" s="25"/>
      <c r="P150" s="25"/>
      <c r="Q150" s="131"/>
      <c r="R150" s="25"/>
      <c r="S150" s="25"/>
      <c r="T150" s="25"/>
      <c r="U150" s="25"/>
      <c r="V150" s="25"/>
      <c r="W150" s="121">
        <f t="shared" si="20"/>
        <v>21482.760000000002</v>
      </c>
      <c r="X150" s="1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3">
        <f t="shared" si="18"/>
        <v>0</v>
      </c>
      <c r="AK150" s="107">
        <f t="shared" si="19"/>
        <v>21482.760000000002</v>
      </c>
    </row>
    <row r="151" spans="1:37" x14ac:dyDescent="0.2">
      <c r="A151" s="95">
        <f t="shared" si="16"/>
        <v>149</v>
      </c>
      <c r="B151" s="21">
        <v>149</v>
      </c>
      <c r="C151" s="88" t="s">
        <v>33</v>
      </c>
      <c r="D151" s="77" t="s">
        <v>64</v>
      </c>
      <c r="E151" s="78">
        <v>41444</v>
      </c>
      <c r="F151" s="28">
        <v>1</v>
      </c>
      <c r="G151" s="79">
        <v>12</v>
      </c>
      <c r="H151" s="79">
        <f t="shared" si="21"/>
        <v>12</v>
      </c>
      <c r="I151" s="139">
        <f t="shared" si="17"/>
        <v>21482.760000000002</v>
      </c>
      <c r="J151" s="143">
        <f>'2013'!Q151</f>
        <v>5515.81</v>
      </c>
      <c r="K151" s="75"/>
      <c r="L151" s="25"/>
      <c r="M151" s="25"/>
      <c r="N151" s="25"/>
      <c r="O151" s="25"/>
      <c r="P151" s="25"/>
      <c r="Q151" s="131"/>
      <c r="R151" s="25"/>
      <c r="S151" s="25"/>
      <c r="T151" s="25"/>
      <c r="U151" s="25"/>
      <c r="V151" s="25"/>
      <c r="W151" s="121">
        <f t="shared" si="20"/>
        <v>26998.570000000003</v>
      </c>
      <c r="X151" s="1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3">
        <f t="shared" si="18"/>
        <v>0</v>
      </c>
      <c r="AK151" s="107">
        <f t="shared" si="19"/>
        <v>26998.570000000003</v>
      </c>
    </row>
    <row r="152" spans="1:37" x14ac:dyDescent="0.2">
      <c r="A152" s="95">
        <f t="shared" si="16"/>
        <v>150</v>
      </c>
      <c r="B152" s="21">
        <v>150</v>
      </c>
      <c r="C152" s="114" t="s">
        <v>33</v>
      </c>
      <c r="D152" s="50"/>
      <c r="E152" s="51"/>
      <c r="F152" s="28">
        <v>1</v>
      </c>
      <c r="G152" s="37">
        <v>12</v>
      </c>
      <c r="H152" s="37">
        <f t="shared" si="21"/>
        <v>12</v>
      </c>
      <c r="I152" s="139">
        <f t="shared" si="17"/>
        <v>21482.760000000002</v>
      </c>
      <c r="J152" s="143">
        <f>'2013'!Q152</f>
        <v>5515.8</v>
      </c>
      <c r="K152" s="75"/>
      <c r="L152" s="25"/>
      <c r="M152" s="25"/>
      <c r="N152" s="25"/>
      <c r="O152" s="25"/>
      <c r="P152" s="25"/>
      <c r="Q152" s="131"/>
      <c r="R152" s="25"/>
      <c r="S152" s="25"/>
      <c r="T152" s="25"/>
      <c r="U152" s="25"/>
      <c r="V152" s="25"/>
      <c r="W152" s="121">
        <f t="shared" si="20"/>
        <v>26998.560000000001</v>
      </c>
      <c r="X152" s="1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3">
        <f t="shared" si="18"/>
        <v>0</v>
      </c>
      <c r="AK152" s="107">
        <f t="shared" si="19"/>
        <v>26998.560000000001</v>
      </c>
    </row>
    <row r="153" spans="1:37" x14ac:dyDescent="0.2">
      <c r="A153" s="94">
        <f t="shared" si="16"/>
        <v>151</v>
      </c>
      <c r="B153" s="21">
        <v>151</v>
      </c>
      <c r="C153" s="98" t="s">
        <v>223</v>
      </c>
      <c r="D153" s="50"/>
      <c r="E153" s="51"/>
      <c r="F153" s="28">
        <v>1</v>
      </c>
      <c r="G153" s="27">
        <v>12</v>
      </c>
      <c r="H153" s="37">
        <f t="shared" si="21"/>
        <v>12</v>
      </c>
      <c r="I153" s="139">
        <f t="shared" si="17"/>
        <v>21482.760000000002</v>
      </c>
      <c r="J153" s="143">
        <f>'2013'!Q153</f>
        <v>6260.92</v>
      </c>
      <c r="K153" s="75"/>
      <c r="L153" s="25"/>
      <c r="M153" s="25"/>
      <c r="N153" s="25"/>
      <c r="O153" s="25"/>
      <c r="P153" s="25"/>
      <c r="Q153" s="131"/>
      <c r="R153" s="25"/>
      <c r="S153" s="25"/>
      <c r="T153" s="25"/>
      <c r="U153" s="25"/>
      <c r="V153" s="25"/>
      <c r="W153" s="121">
        <f t="shared" si="20"/>
        <v>27743.68</v>
      </c>
      <c r="X153" s="1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3">
        <f t="shared" si="18"/>
        <v>0</v>
      </c>
      <c r="AK153" s="107">
        <f t="shared" si="19"/>
        <v>27743.68</v>
      </c>
    </row>
    <row r="154" spans="1:37" x14ac:dyDescent="0.2">
      <c r="A154" s="95">
        <f t="shared" si="16"/>
        <v>152</v>
      </c>
      <c r="B154" s="21">
        <v>152</v>
      </c>
      <c r="C154" s="112" t="s">
        <v>134</v>
      </c>
      <c r="D154" s="109"/>
      <c r="E154" s="110"/>
      <c r="F154" s="28">
        <v>1</v>
      </c>
      <c r="G154" s="37">
        <v>12</v>
      </c>
      <c r="H154" s="37">
        <f t="shared" si="21"/>
        <v>12</v>
      </c>
      <c r="I154" s="139">
        <f t="shared" si="17"/>
        <v>21482.760000000002</v>
      </c>
      <c r="J154" s="143">
        <f>'2013'!Q154</f>
        <v>10731.61</v>
      </c>
      <c r="K154" s="75"/>
      <c r="L154" s="25"/>
      <c r="M154" s="25"/>
      <c r="N154" s="25"/>
      <c r="O154" s="25"/>
      <c r="P154" s="25"/>
      <c r="Q154" s="131"/>
      <c r="R154" s="25"/>
      <c r="S154" s="25"/>
      <c r="T154" s="25"/>
      <c r="U154" s="25"/>
      <c r="V154" s="25"/>
      <c r="W154" s="121">
        <f t="shared" si="20"/>
        <v>32214.370000000003</v>
      </c>
      <c r="X154" s="1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3">
        <f t="shared" si="18"/>
        <v>0</v>
      </c>
      <c r="AK154" s="107">
        <f t="shared" si="19"/>
        <v>32214.370000000003</v>
      </c>
    </row>
    <row r="155" spans="1:37" x14ac:dyDescent="0.2">
      <c r="A155" s="95">
        <f t="shared" si="16"/>
        <v>153</v>
      </c>
      <c r="B155" s="21">
        <v>153</v>
      </c>
      <c r="C155" s="82" t="s">
        <v>21</v>
      </c>
      <c r="D155" s="8" t="s">
        <v>74</v>
      </c>
      <c r="E155" s="29">
        <v>41449</v>
      </c>
      <c r="F155" s="28">
        <v>1</v>
      </c>
      <c r="G155" s="37">
        <v>12</v>
      </c>
      <c r="H155" s="37">
        <f t="shared" si="21"/>
        <v>12</v>
      </c>
      <c r="I155" s="139">
        <f t="shared" si="17"/>
        <v>21482.760000000002</v>
      </c>
      <c r="J155" s="143">
        <f>'2013'!Q155</f>
        <v>0</v>
      </c>
      <c r="K155" s="24">
        <v>1790.23</v>
      </c>
      <c r="L155" s="25"/>
      <c r="M155" s="75"/>
      <c r="N155" s="75"/>
      <c r="O155" s="25"/>
      <c r="P155" s="25"/>
      <c r="Q155" s="131"/>
      <c r="R155" s="25"/>
      <c r="S155" s="25"/>
      <c r="T155" s="75"/>
      <c r="U155" s="75"/>
      <c r="V155" s="25"/>
      <c r="W155" s="121">
        <f t="shared" si="20"/>
        <v>19692.530000000002</v>
      </c>
      <c r="X155" s="1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3">
        <f t="shared" si="18"/>
        <v>0</v>
      </c>
      <c r="AK155" s="107">
        <f t="shared" si="19"/>
        <v>19692.530000000002</v>
      </c>
    </row>
    <row r="156" spans="1:37" x14ac:dyDescent="0.2">
      <c r="A156" s="95">
        <f t="shared" si="16"/>
        <v>154</v>
      </c>
      <c r="B156" s="21">
        <v>154</v>
      </c>
      <c r="C156" s="111" t="s">
        <v>135</v>
      </c>
      <c r="D156" s="50"/>
      <c r="E156" s="51"/>
      <c r="F156" s="28">
        <v>1</v>
      </c>
      <c r="G156" s="37">
        <v>12</v>
      </c>
      <c r="H156" s="37">
        <f t="shared" si="21"/>
        <v>12</v>
      </c>
      <c r="I156" s="139">
        <f t="shared" si="17"/>
        <v>21482.760000000002</v>
      </c>
      <c r="J156" s="143">
        <f>'2013'!Q156</f>
        <v>-758.61999999999898</v>
      </c>
      <c r="K156" s="75"/>
      <c r="L156" s="25"/>
      <c r="M156" s="25"/>
      <c r="N156" s="25"/>
      <c r="O156" s="25"/>
      <c r="P156" s="25"/>
      <c r="Q156" s="131"/>
      <c r="R156" s="25"/>
      <c r="S156" s="25"/>
      <c r="T156" s="25"/>
      <c r="U156" s="25"/>
      <c r="V156" s="25"/>
      <c r="W156" s="121">
        <f t="shared" si="20"/>
        <v>20724.140000000003</v>
      </c>
      <c r="X156" s="1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3">
        <f t="shared" si="18"/>
        <v>0</v>
      </c>
      <c r="AK156" s="107">
        <f t="shared" si="19"/>
        <v>20724.140000000003</v>
      </c>
    </row>
    <row r="157" spans="1:37" x14ac:dyDescent="0.2">
      <c r="A157" s="95">
        <f t="shared" si="16"/>
        <v>155</v>
      </c>
      <c r="B157" s="21">
        <v>155</v>
      </c>
      <c r="C157" s="83" t="s">
        <v>89</v>
      </c>
      <c r="D157" s="48" t="s">
        <v>93</v>
      </c>
      <c r="E157" s="29">
        <v>41449</v>
      </c>
      <c r="F157" s="28">
        <v>1</v>
      </c>
      <c r="G157" s="37">
        <v>12</v>
      </c>
      <c r="H157" s="37">
        <f t="shared" si="21"/>
        <v>12</v>
      </c>
      <c r="I157" s="139">
        <f t="shared" si="17"/>
        <v>21482.760000000002</v>
      </c>
      <c r="J157" s="143">
        <f>'2013'!Q157</f>
        <v>0</v>
      </c>
      <c r="K157" s="24">
        <f>1790.23</f>
        <v>1790.23</v>
      </c>
      <c r="L157" s="25"/>
      <c r="M157" s="25"/>
      <c r="N157" s="25"/>
      <c r="O157" s="25"/>
      <c r="P157" s="25"/>
      <c r="Q157" s="131"/>
      <c r="R157" s="25"/>
      <c r="S157" s="25"/>
      <c r="T157" s="25"/>
      <c r="U157" s="25"/>
      <c r="V157" s="25"/>
      <c r="W157" s="121">
        <f t="shared" si="20"/>
        <v>19692.530000000002</v>
      </c>
      <c r="X157" s="1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3">
        <f t="shared" si="18"/>
        <v>0</v>
      </c>
      <c r="AK157" s="107">
        <f t="shared" si="19"/>
        <v>19692.530000000002</v>
      </c>
    </row>
    <row r="158" spans="1:37" x14ac:dyDescent="0.2">
      <c r="A158" s="95">
        <f t="shared" si="16"/>
        <v>156</v>
      </c>
      <c r="B158" s="21">
        <v>156</v>
      </c>
      <c r="C158" s="111" t="s">
        <v>136</v>
      </c>
      <c r="D158" s="50"/>
      <c r="E158" s="51"/>
      <c r="F158" s="28">
        <v>1</v>
      </c>
      <c r="G158" s="37">
        <v>12</v>
      </c>
      <c r="H158" s="37">
        <f t="shared" si="21"/>
        <v>12</v>
      </c>
      <c r="I158" s="139">
        <f t="shared" si="17"/>
        <v>21482.760000000002</v>
      </c>
      <c r="J158" s="143">
        <f>'2013'!Q158</f>
        <v>10731.61</v>
      </c>
      <c r="K158" s="75"/>
      <c r="L158" s="25"/>
      <c r="M158" s="25"/>
      <c r="N158" s="25"/>
      <c r="O158" s="25"/>
      <c r="P158" s="25"/>
      <c r="Q158" s="131"/>
      <c r="R158" s="25"/>
      <c r="S158" s="25"/>
      <c r="T158" s="25"/>
      <c r="U158" s="25"/>
      <c r="V158" s="25"/>
      <c r="W158" s="121">
        <f t="shared" si="20"/>
        <v>32214.370000000003</v>
      </c>
      <c r="X158" s="1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3">
        <f t="shared" si="18"/>
        <v>0</v>
      </c>
      <c r="AK158" s="107">
        <f t="shared" si="19"/>
        <v>32214.370000000003</v>
      </c>
    </row>
    <row r="159" spans="1:37" x14ac:dyDescent="0.2">
      <c r="A159" s="95">
        <f t="shared" si="16"/>
        <v>157</v>
      </c>
      <c r="B159" s="21">
        <v>157</v>
      </c>
      <c r="C159" s="90" t="s">
        <v>49</v>
      </c>
      <c r="D159" s="8" t="s">
        <v>18</v>
      </c>
      <c r="E159" s="29">
        <v>41424</v>
      </c>
      <c r="F159" s="28">
        <v>1</v>
      </c>
      <c r="G159" s="37">
        <v>12</v>
      </c>
      <c r="H159" s="37">
        <f t="shared" si="21"/>
        <v>12</v>
      </c>
      <c r="I159" s="139">
        <f t="shared" si="17"/>
        <v>21482.760000000002</v>
      </c>
      <c r="J159" s="143">
        <f>'2013'!Q159</f>
        <v>4731.6100000000006</v>
      </c>
      <c r="K159" s="75"/>
      <c r="L159" s="25"/>
      <c r="M159" s="25"/>
      <c r="N159" s="25"/>
      <c r="O159" s="25"/>
      <c r="P159" s="25"/>
      <c r="Q159" s="131"/>
      <c r="R159" s="25"/>
      <c r="S159" s="25"/>
      <c r="T159" s="25"/>
      <c r="U159" s="25"/>
      <c r="V159" s="25"/>
      <c r="W159" s="121">
        <f t="shared" si="20"/>
        <v>26214.370000000003</v>
      </c>
      <c r="X159" s="1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3">
        <f t="shared" si="18"/>
        <v>0</v>
      </c>
      <c r="AK159" s="107">
        <f t="shared" si="19"/>
        <v>26214.370000000003</v>
      </c>
    </row>
    <row r="160" spans="1:37" x14ac:dyDescent="0.2">
      <c r="A160" s="95">
        <f t="shared" si="16"/>
        <v>158</v>
      </c>
      <c r="B160" s="21">
        <v>158</v>
      </c>
      <c r="C160" s="82" t="s">
        <v>20</v>
      </c>
      <c r="D160" s="46" t="s">
        <v>181</v>
      </c>
      <c r="E160" s="29">
        <v>41428</v>
      </c>
      <c r="F160" s="28">
        <v>1</v>
      </c>
      <c r="G160" s="37">
        <v>12</v>
      </c>
      <c r="H160" s="37">
        <f t="shared" si="21"/>
        <v>12</v>
      </c>
      <c r="I160" s="139">
        <f t="shared" si="17"/>
        <v>21482.760000000002</v>
      </c>
      <c r="J160" s="143">
        <f>'2013'!Q160</f>
        <v>-5370.6899999999987</v>
      </c>
      <c r="K160" s="24"/>
      <c r="L160" s="23"/>
      <c r="M160" s="23"/>
      <c r="N160" s="25"/>
      <c r="O160" s="25"/>
      <c r="P160" s="25"/>
      <c r="Q160" s="131"/>
      <c r="R160" s="25"/>
      <c r="S160" s="25"/>
      <c r="T160" s="25"/>
      <c r="U160" s="25"/>
      <c r="V160" s="25"/>
      <c r="W160" s="121">
        <f t="shared" si="20"/>
        <v>16112.070000000003</v>
      </c>
      <c r="X160" s="24"/>
      <c r="Y160" s="23"/>
      <c r="Z160" s="23"/>
      <c r="AA160" s="5"/>
      <c r="AB160" s="5"/>
      <c r="AC160" s="5"/>
      <c r="AD160" s="5"/>
      <c r="AE160" s="5"/>
      <c r="AF160" s="5"/>
      <c r="AG160" s="5"/>
      <c r="AH160" s="5"/>
      <c r="AI160" s="5"/>
      <c r="AJ160" s="53">
        <f t="shared" si="18"/>
        <v>0</v>
      </c>
      <c r="AK160" s="107">
        <f t="shared" si="19"/>
        <v>16112.070000000003</v>
      </c>
    </row>
    <row r="161" spans="1:37" x14ac:dyDescent="0.2">
      <c r="A161" s="95">
        <f t="shared" si="16"/>
        <v>159</v>
      </c>
      <c r="B161" s="21">
        <v>159</v>
      </c>
      <c r="C161" s="81" t="s">
        <v>137</v>
      </c>
      <c r="D161" s="46" t="s">
        <v>191</v>
      </c>
      <c r="E161" s="29">
        <v>41505</v>
      </c>
      <c r="F161" s="28">
        <v>1</v>
      </c>
      <c r="G161" s="37">
        <v>12</v>
      </c>
      <c r="H161" s="37">
        <f t="shared" si="21"/>
        <v>12</v>
      </c>
      <c r="I161" s="139">
        <f t="shared" si="17"/>
        <v>21482.760000000002</v>
      </c>
      <c r="J161" s="143">
        <f>'2013'!Q161</f>
        <v>4770.6900000000005</v>
      </c>
      <c r="K161" s="75"/>
      <c r="L161" s="25"/>
      <c r="M161" s="25"/>
      <c r="N161" s="25"/>
      <c r="O161" s="25"/>
      <c r="P161" s="25"/>
      <c r="Q161" s="131"/>
      <c r="R161" s="25"/>
      <c r="S161" s="25"/>
      <c r="T161" s="25"/>
      <c r="U161" s="25"/>
      <c r="V161" s="25"/>
      <c r="W161" s="121">
        <f t="shared" si="20"/>
        <v>26253.450000000004</v>
      </c>
      <c r="X161" s="1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3">
        <f t="shared" si="18"/>
        <v>0</v>
      </c>
      <c r="AK161" s="107">
        <f t="shared" si="19"/>
        <v>26253.450000000004</v>
      </c>
    </row>
    <row r="162" spans="1:37" x14ac:dyDescent="0.2">
      <c r="A162" s="95">
        <f t="shared" si="16"/>
        <v>160</v>
      </c>
      <c r="B162" s="21">
        <v>160</v>
      </c>
      <c r="C162" s="82" t="s">
        <v>39</v>
      </c>
      <c r="D162" s="8" t="s">
        <v>65</v>
      </c>
      <c r="E162" s="29">
        <v>41444</v>
      </c>
      <c r="F162" s="28">
        <v>1</v>
      </c>
      <c r="G162" s="37">
        <v>12</v>
      </c>
      <c r="H162" s="37">
        <f t="shared" si="21"/>
        <v>12</v>
      </c>
      <c r="I162" s="139">
        <f t="shared" si="17"/>
        <v>21482.760000000002</v>
      </c>
      <c r="J162" s="143">
        <f>'2013'!Q162</f>
        <v>10731.61</v>
      </c>
      <c r="K162" s="75"/>
      <c r="L162" s="25"/>
      <c r="M162" s="25"/>
      <c r="N162" s="25"/>
      <c r="O162" s="25"/>
      <c r="P162" s="25"/>
      <c r="Q162" s="131"/>
      <c r="R162" s="25"/>
      <c r="S162" s="25"/>
      <c r="T162" s="25"/>
      <c r="U162" s="25"/>
      <c r="V162" s="25"/>
      <c r="W162" s="121">
        <f t="shared" si="20"/>
        <v>32214.370000000003</v>
      </c>
      <c r="X162" s="1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3">
        <f t="shared" si="18"/>
        <v>0</v>
      </c>
      <c r="AK162" s="107">
        <f t="shared" si="19"/>
        <v>32214.370000000003</v>
      </c>
    </row>
    <row r="163" spans="1:37" x14ac:dyDescent="0.2">
      <c r="A163" s="94">
        <f t="shared" si="16"/>
        <v>161</v>
      </c>
      <c r="B163" s="21">
        <v>161</v>
      </c>
      <c r="C163" s="82" t="s">
        <v>39</v>
      </c>
      <c r="D163" s="8" t="s">
        <v>66</v>
      </c>
      <c r="E163" s="29">
        <v>41444</v>
      </c>
      <c r="F163" s="28">
        <v>1</v>
      </c>
      <c r="G163" s="37">
        <v>12</v>
      </c>
      <c r="H163" s="37">
        <f t="shared" si="21"/>
        <v>12</v>
      </c>
      <c r="I163" s="139">
        <f t="shared" si="17"/>
        <v>21482.760000000002</v>
      </c>
      <c r="J163" s="143">
        <f>'2013'!Q163</f>
        <v>10731.61</v>
      </c>
      <c r="K163" s="75"/>
      <c r="L163" s="25"/>
      <c r="M163" s="25"/>
      <c r="N163" s="25"/>
      <c r="O163" s="25"/>
      <c r="P163" s="25"/>
      <c r="Q163" s="131"/>
      <c r="R163" s="25"/>
      <c r="S163" s="25"/>
      <c r="T163" s="25"/>
      <c r="U163" s="25"/>
      <c r="V163" s="25"/>
      <c r="W163" s="121">
        <f t="shared" si="20"/>
        <v>32214.370000000003</v>
      </c>
      <c r="X163" s="1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3">
        <f t="shared" ref="AJ163:AJ194" si="22">SUM(X163:AI163)</f>
        <v>0</v>
      </c>
      <c r="AK163" s="107">
        <f t="shared" si="19"/>
        <v>32214.370000000003</v>
      </c>
    </row>
    <row r="164" spans="1:37" x14ac:dyDescent="0.2">
      <c r="A164" s="95">
        <f t="shared" si="16"/>
        <v>162</v>
      </c>
      <c r="B164" s="21">
        <v>162</v>
      </c>
      <c r="C164" s="111" t="s">
        <v>138</v>
      </c>
      <c r="D164" s="50"/>
      <c r="E164" s="51"/>
      <c r="F164" s="28">
        <v>1</v>
      </c>
      <c r="G164" s="37">
        <v>12</v>
      </c>
      <c r="H164" s="37">
        <f t="shared" si="21"/>
        <v>12</v>
      </c>
      <c r="I164" s="139">
        <f t="shared" si="17"/>
        <v>21482.760000000002</v>
      </c>
      <c r="J164" s="143">
        <f>'2013'!Q164</f>
        <v>10731.61</v>
      </c>
      <c r="K164" s="75"/>
      <c r="L164" s="25"/>
      <c r="M164" s="25"/>
      <c r="N164" s="25"/>
      <c r="O164" s="25"/>
      <c r="P164" s="25"/>
      <c r="Q164" s="131"/>
      <c r="R164" s="25"/>
      <c r="S164" s="25"/>
      <c r="T164" s="25"/>
      <c r="U164" s="25"/>
      <c r="V164" s="25"/>
      <c r="W164" s="121">
        <f t="shared" si="20"/>
        <v>32214.370000000003</v>
      </c>
      <c r="X164" s="1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3">
        <f t="shared" si="22"/>
        <v>0</v>
      </c>
      <c r="AK164" s="107">
        <f t="shared" si="19"/>
        <v>32214.370000000003</v>
      </c>
    </row>
    <row r="165" spans="1:37" x14ac:dyDescent="0.2">
      <c r="A165" s="95">
        <f t="shared" si="16"/>
        <v>163</v>
      </c>
      <c r="B165" s="21">
        <v>163</v>
      </c>
      <c r="C165" s="86" t="s">
        <v>98</v>
      </c>
      <c r="D165" s="46" t="s">
        <v>196</v>
      </c>
      <c r="E165" s="29">
        <v>41484</v>
      </c>
      <c r="F165" s="28">
        <v>1</v>
      </c>
      <c r="G165" s="37">
        <v>12</v>
      </c>
      <c r="H165" s="37">
        <f t="shared" si="21"/>
        <v>12</v>
      </c>
      <c r="I165" s="139">
        <f t="shared" si="17"/>
        <v>21482.760000000002</v>
      </c>
      <c r="J165" s="143">
        <f>'2013'!Q165</f>
        <v>-1758.619999999999</v>
      </c>
      <c r="K165" s="24"/>
      <c r="L165" s="25"/>
      <c r="M165" s="25"/>
      <c r="N165" s="25"/>
      <c r="O165" s="25"/>
      <c r="P165" s="25"/>
      <c r="Q165" s="131"/>
      <c r="R165" s="25"/>
      <c r="S165" s="25"/>
      <c r="T165" s="25"/>
      <c r="U165" s="25"/>
      <c r="V165" s="25"/>
      <c r="W165" s="121">
        <f t="shared" si="20"/>
        <v>19724.140000000003</v>
      </c>
      <c r="X165" s="24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3">
        <f t="shared" si="22"/>
        <v>0</v>
      </c>
      <c r="AK165" s="107">
        <f t="shared" si="19"/>
        <v>19724.140000000003</v>
      </c>
    </row>
    <row r="166" spans="1:37" x14ac:dyDescent="0.2">
      <c r="A166" s="95">
        <f t="shared" si="16"/>
        <v>164</v>
      </c>
      <c r="B166" s="21">
        <v>164</v>
      </c>
      <c r="C166" s="112" t="s">
        <v>278</v>
      </c>
      <c r="D166" s="109"/>
      <c r="E166" s="110"/>
      <c r="F166" s="18">
        <v>1</v>
      </c>
      <c r="G166" s="14">
        <v>12</v>
      </c>
      <c r="H166" s="37">
        <f t="shared" si="21"/>
        <v>12</v>
      </c>
      <c r="I166" s="139">
        <f t="shared" si="17"/>
        <v>21482.760000000002</v>
      </c>
      <c r="J166" s="143">
        <f>'2013'!Q166</f>
        <v>0</v>
      </c>
      <c r="K166" s="7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121">
        <f t="shared" si="20"/>
        <v>21482.760000000002</v>
      </c>
      <c r="X166" s="1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3">
        <f t="shared" si="22"/>
        <v>0</v>
      </c>
      <c r="AK166" s="33">
        <f t="shared" si="19"/>
        <v>21482.760000000002</v>
      </c>
    </row>
    <row r="167" spans="1:37" x14ac:dyDescent="0.2">
      <c r="A167" s="95">
        <f t="shared" si="16"/>
        <v>165</v>
      </c>
      <c r="B167" s="21">
        <v>165</v>
      </c>
      <c r="C167" s="111" t="s">
        <v>139</v>
      </c>
      <c r="D167" s="50"/>
      <c r="E167" s="51"/>
      <c r="F167" s="28">
        <v>1</v>
      </c>
      <c r="G167" s="37">
        <v>12</v>
      </c>
      <c r="H167" s="37">
        <f>SUM(G167-F167)+1</f>
        <v>12</v>
      </c>
      <c r="I167" s="139">
        <f t="shared" si="17"/>
        <v>21482.760000000002</v>
      </c>
      <c r="J167" s="143">
        <f>'2013'!Q167</f>
        <v>7751.15</v>
      </c>
      <c r="K167" s="75">
        <v>7751.15</v>
      </c>
      <c r="L167" s="25"/>
      <c r="M167" s="25"/>
      <c r="N167" s="25"/>
      <c r="O167" s="25"/>
      <c r="P167" s="25"/>
      <c r="Q167" s="131"/>
      <c r="R167" s="25"/>
      <c r="S167" s="25"/>
      <c r="T167" s="25"/>
      <c r="U167" s="25"/>
      <c r="V167" s="25"/>
      <c r="W167" s="121">
        <f t="shared" si="20"/>
        <v>21482.760000000002</v>
      </c>
      <c r="X167" s="1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3">
        <f t="shared" si="22"/>
        <v>0</v>
      </c>
      <c r="AK167" s="107">
        <f t="shared" si="19"/>
        <v>21482.760000000002</v>
      </c>
    </row>
    <row r="168" spans="1:37" x14ac:dyDescent="0.2">
      <c r="A168" s="95">
        <f t="shared" si="16"/>
        <v>166</v>
      </c>
      <c r="B168" s="21">
        <v>166</v>
      </c>
      <c r="C168" s="82" t="s">
        <v>40</v>
      </c>
      <c r="D168" s="8" t="s">
        <v>67</v>
      </c>
      <c r="E168" s="29">
        <v>41444</v>
      </c>
      <c r="F168" s="28">
        <v>1</v>
      </c>
      <c r="G168" s="37">
        <v>12</v>
      </c>
      <c r="H168" s="37">
        <f>SUM(G168-F168)+1</f>
        <v>12</v>
      </c>
      <c r="I168" s="139">
        <f t="shared" si="17"/>
        <v>21482.760000000002</v>
      </c>
      <c r="J168" s="143">
        <f>'2013'!Q168</f>
        <v>0</v>
      </c>
      <c r="K168" s="75"/>
      <c r="L168" s="25"/>
      <c r="M168" s="25"/>
      <c r="N168" s="25"/>
      <c r="O168" s="25"/>
      <c r="P168" s="25"/>
      <c r="Q168" s="131"/>
      <c r="R168" s="25"/>
      <c r="S168" s="25"/>
      <c r="T168" s="25"/>
      <c r="U168" s="25"/>
      <c r="V168" s="25"/>
      <c r="W168" s="121">
        <f t="shared" si="20"/>
        <v>21482.760000000002</v>
      </c>
      <c r="X168" s="1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3">
        <f t="shared" si="22"/>
        <v>0</v>
      </c>
      <c r="AK168" s="107">
        <f t="shared" si="19"/>
        <v>21482.760000000002</v>
      </c>
    </row>
    <row r="169" spans="1:37" x14ac:dyDescent="0.2">
      <c r="A169" s="95">
        <f t="shared" si="16"/>
        <v>167</v>
      </c>
      <c r="B169" s="21">
        <v>167</v>
      </c>
      <c r="C169" s="81" t="s">
        <v>140</v>
      </c>
      <c r="D169" s="46" t="s">
        <v>170</v>
      </c>
      <c r="E169" s="29">
        <v>41463</v>
      </c>
      <c r="F169" s="28">
        <v>1</v>
      </c>
      <c r="G169" s="37">
        <v>12</v>
      </c>
      <c r="H169" s="37">
        <f>SUM(G169-F169)+1</f>
        <v>12</v>
      </c>
      <c r="I169" s="139">
        <f t="shared" si="17"/>
        <v>21482.760000000002</v>
      </c>
      <c r="J169" s="143">
        <f>'2013'!Q169</f>
        <v>0.69000000000050932</v>
      </c>
      <c r="K169" s="75"/>
      <c r="L169" s="25"/>
      <c r="M169" s="25"/>
      <c r="N169" s="25"/>
      <c r="O169" s="25"/>
      <c r="P169" s="25"/>
      <c r="Q169" s="131"/>
      <c r="R169" s="25"/>
      <c r="S169" s="25"/>
      <c r="T169" s="25"/>
      <c r="U169" s="25"/>
      <c r="V169" s="25"/>
      <c r="W169" s="121">
        <f t="shared" si="20"/>
        <v>21483.450000000004</v>
      </c>
      <c r="X169" s="1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3">
        <f t="shared" si="22"/>
        <v>0</v>
      </c>
      <c r="AK169" s="107">
        <f t="shared" si="19"/>
        <v>21483.450000000004</v>
      </c>
    </row>
    <row r="170" spans="1:37" x14ac:dyDescent="0.2">
      <c r="A170" s="95">
        <f t="shared" si="16"/>
        <v>168</v>
      </c>
      <c r="B170" s="21">
        <v>168</v>
      </c>
      <c r="C170" s="81" t="s">
        <v>141</v>
      </c>
      <c r="D170" s="46" t="s">
        <v>249</v>
      </c>
      <c r="E170" s="29">
        <v>41426</v>
      </c>
      <c r="F170" s="28">
        <v>1</v>
      </c>
      <c r="G170" s="37">
        <v>12</v>
      </c>
      <c r="H170" s="37">
        <f>SUM(G170-F170)+1</f>
        <v>12</v>
      </c>
      <c r="I170" s="139">
        <f t="shared" si="17"/>
        <v>21482.760000000002</v>
      </c>
      <c r="J170" s="143">
        <f>'2013'!Q170</f>
        <v>300.00000000000182</v>
      </c>
      <c r="K170" s="24">
        <v>2000.46</v>
      </c>
      <c r="L170" s="25"/>
      <c r="M170" s="25"/>
      <c r="N170" s="25"/>
      <c r="O170" s="25"/>
      <c r="P170" s="25"/>
      <c r="Q170" s="131"/>
      <c r="R170" s="25"/>
      <c r="S170" s="25"/>
      <c r="T170" s="25"/>
      <c r="U170" s="25"/>
      <c r="V170" s="25"/>
      <c r="W170" s="121">
        <f t="shared" si="20"/>
        <v>19782.300000000003</v>
      </c>
      <c r="X170" s="1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3">
        <f t="shared" si="22"/>
        <v>0</v>
      </c>
      <c r="AK170" s="107">
        <f t="shared" si="19"/>
        <v>19782.300000000003</v>
      </c>
    </row>
    <row r="171" spans="1:37" x14ac:dyDescent="0.2">
      <c r="A171" s="95">
        <f t="shared" si="16"/>
        <v>169</v>
      </c>
      <c r="B171" s="21">
        <v>169</v>
      </c>
      <c r="C171" s="81" t="s">
        <v>142</v>
      </c>
      <c r="D171" s="46" t="s">
        <v>252</v>
      </c>
      <c r="E171" s="29">
        <v>41426</v>
      </c>
      <c r="F171" s="28">
        <v>1</v>
      </c>
      <c r="G171" s="37">
        <v>12</v>
      </c>
      <c r="H171" s="37">
        <f>SUM(G171-F171)+1</f>
        <v>12</v>
      </c>
      <c r="I171" s="139">
        <f t="shared" si="17"/>
        <v>21482.760000000002</v>
      </c>
      <c r="J171" s="143">
        <f>'2013'!Q171</f>
        <v>300.00000000000182</v>
      </c>
      <c r="K171" s="75"/>
      <c r="L171" s="25"/>
      <c r="M171" s="25"/>
      <c r="N171" s="25"/>
      <c r="O171" s="25"/>
      <c r="P171" s="25"/>
      <c r="Q171" s="131"/>
      <c r="R171" s="25"/>
      <c r="S171" s="25"/>
      <c r="T171" s="25"/>
      <c r="U171" s="25"/>
      <c r="V171" s="25"/>
      <c r="W171" s="121">
        <f t="shared" si="20"/>
        <v>21782.760000000002</v>
      </c>
      <c r="X171" s="1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3">
        <f t="shared" si="22"/>
        <v>0</v>
      </c>
      <c r="AK171" s="107">
        <f t="shared" si="19"/>
        <v>21782.760000000002</v>
      </c>
    </row>
    <row r="172" spans="1:37" hidden="1" x14ac:dyDescent="0.2">
      <c r="A172" s="95">
        <f t="shared" si="16"/>
        <v>170</v>
      </c>
      <c r="B172" s="21">
        <v>170</v>
      </c>
      <c r="C172" s="108"/>
      <c r="D172" s="109"/>
      <c r="E172" s="110"/>
      <c r="F172" s="18"/>
      <c r="G172" s="14"/>
      <c r="H172" s="2"/>
      <c r="I172" s="139">
        <f t="shared" si="17"/>
        <v>0</v>
      </c>
      <c r="J172" s="143">
        <f>'2013'!Q172</f>
        <v>0</v>
      </c>
      <c r="K172" s="7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121">
        <f t="shared" si="20"/>
        <v>0</v>
      </c>
      <c r="X172" s="1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3">
        <f t="shared" si="22"/>
        <v>0</v>
      </c>
      <c r="AK172" s="33">
        <f t="shared" si="19"/>
        <v>0</v>
      </c>
    </row>
    <row r="173" spans="1:37" hidden="1" x14ac:dyDescent="0.2">
      <c r="A173" s="94">
        <f t="shared" si="16"/>
        <v>171</v>
      </c>
      <c r="B173" s="21">
        <v>171</v>
      </c>
      <c r="C173" s="108"/>
      <c r="D173" s="109"/>
      <c r="E173" s="110"/>
      <c r="F173" s="18"/>
      <c r="G173" s="14"/>
      <c r="H173" s="2"/>
      <c r="I173" s="139">
        <f t="shared" si="17"/>
        <v>0</v>
      </c>
      <c r="J173" s="143">
        <f>'2013'!Q173</f>
        <v>0</v>
      </c>
      <c r="K173" s="7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121">
        <f t="shared" si="20"/>
        <v>0</v>
      </c>
      <c r="X173" s="1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3">
        <f t="shared" si="22"/>
        <v>0</v>
      </c>
      <c r="AK173" s="33">
        <f t="shared" si="19"/>
        <v>0</v>
      </c>
    </row>
    <row r="174" spans="1:37" hidden="1" x14ac:dyDescent="0.2">
      <c r="A174" s="95">
        <f t="shared" si="16"/>
        <v>172</v>
      </c>
      <c r="B174" s="21">
        <v>172</v>
      </c>
      <c r="C174" s="108"/>
      <c r="D174" s="109"/>
      <c r="E174" s="110"/>
      <c r="F174" s="18"/>
      <c r="G174" s="14"/>
      <c r="H174" s="2"/>
      <c r="I174" s="139">
        <f t="shared" si="17"/>
        <v>0</v>
      </c>
      <c r="J174" s="143">
        <f>'2013'!Q174</f>
        <v>0</v>
      </c>
      <c r="K174" s="7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121">
        <f t="shared" si="20"/>
        <v>0</v>
      </c>
      <c r="X174" s="1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3">
        <f t="shared" si="22"/>
        <v>0</v>
      </c>
      <c r="AK174" s="33">
        <f t="shared" si="19"/>
        <v>0</v>
      </c>
    </row>
    <row r="175" spans="1:37" hidden="1" x14ac:dyDescent="0.2">
      <c r="A175" s="95">
        <f t="shared" si="16"/>
        <v>173</v>
      </c>
      <c r="B175" s="21">
        <v>173</v>
      </c>
      <c r="C175" s="108"/>
      <c r="D175" s="109"/>
      <c r="E175" s="110"/>
      <c r="F175" s="18"/>
      <c r="G175" s="14"/>
      <c r="H175" s="2"/>
      <c r="I175" s="139">
        <f t="shared" si="17"/>
        <v>0</v>
      </c>
      <c r="J175" s="143">
        <f>'2013'!Q175</f>
        <v>0</v>
      </c>
      <c r="K175" s="7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121">
        <f t="shared" si="20"/>
        <v>0</v>
      </c>
      <c r="X175" s="1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3">
        <f t="shared" si="22"/>
        <v>0</v>
      </c>
      <c r="AK175" s="33">
        <f t="shared" si="19"/>
        <v>0</v>
      </c>
    </row>
    <row r="176" spans="1:37" hidden="1" x14ac:dyDescent="0.2">
      <c r="A176" s="95">
        <f t="shared" si="16"/>
        <v>174</v>
      </c>
      <c r="B176" s="21">
        <v>174</v>
      </c>
      <c r="C176" s="108"/>
      <c r="D176" s="109"/>
      <c r="E176" s="110"/>
      <c r="F176" s="18"/>
      <c r="G176" s="14"/>
      <c r="H176" s="2"/>
      <c r="I176" s="139">
        <f t="shared" si="17"/>
        <v>0</v>
      </c>
      <c r="J176" s="143">
        <f>'2013'!Q176</f>
        <v>0</v>
      </c>
      <c r="K176" s="7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121">
        <f t="shared" si="20"/>
        <v>0</v>
      </c>
      <c r="X176" s="1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3">
        <f t="shared" si="22"/>
        <v>0</v>
      </c>
      <c r="AK176" s="33">
        <f t="shared" si="19"/>
        <v>0</v>
      </c>
    </row>
    <row r="177" spans="1:37" x14ac:dyDescent="0.2">
      <c r="A177" s="95">
        <f t="shared" si="16"/>
        <v>175</v>
      </c>
      <c r="B177" s="21">
        <v>175</v>
      </c>
      <c r="C177" s="81" t="s">
        <v>143</v>
      </c>
      <c r="D177" s="46" t="s">
        <v>180</v>
      </c>
      <c r="E177" s="29">
        <v>41470</v>
      </c>
      <c r="F177" s="28">
        <v>1</v>
      </c>
      <c r="G177" s="37">
        <v>12</v>
      </c>
      <c r="H177" s="37">
        <f>SUM(G177-F177)+1</f>
        <v>12</v>
      </c>
      <c r="I177" s="139">
        <f t="shared" si="17"/>
        <v>21482.760000000002</v>
      </c>
      <c r="J177" s="143">
        <f>'2013'!Q177</f>
        <v>1490.4600000000009</v>
      </c>
      <c r="K177" s="75"/>
      <c r="L177" s="25"/>
      <c r="M177" s="25"/>
      <c r="N177" s="25"/>
      <c r="O177" s="25"/>
      <c r="P177" s="25"/>
      <c r="Q177" s="131"/>
      <c r="R177" s="25"/>
      <c r="S177" s="25"/>
      <c r="T177" s="25"/>
      <c r="U177" s="25"/>
      <c r="V177" s="25"/>
      <c r="W177" s="121">
        <f t="shared" si="20"/>
        <v>22973.22</v>
      </c>
      <c r="X177" s="1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3">
        <f t="shared" si="22"/>
        <v>0</v>
      </c>
      <c r="AK177" s="107">
        <f t="shared" si="19"/>
        <v>22973.22</v>
      </c>
    </row>
    <row r="178" spans="1:37" x14ac:dyDescent="0.2">
      <c r="A178" s="95">
        <f t="shared" si="16"/>
        <v>176</v>
      </c>
      <c r="B178" s="21">
        <v>176</v>
      </c>
      <c r="C178" s="112" t="s">
        <v>224</v>
      </c>
      <c r="D178" s="109"/>
      <c r="E178" s="110"/>
      <c r="F178" s="28">
        <v>1</v>
      </c>
      <c r="G178" s="37">
        <v>12</v>
      </c>
      <c r="H178" s="37">
        <f>SUM(G178-F178)+1</f>
        <v>12</v>
      </c>
      <c r="I178" s="139">
        <f t="shared" si="17"/>
        <v>21482.760000000002</v>
      </c>
      <c r="J178" s="143">
        <f>'2013'!Q178</f>
        <v>3280.46</v>
      </c>
      <c r="K178" s="75"/>
      <c r="L178" s="25"/>
      <c r="M178" s="25"/>
      <c r="N178" s="25"/>
      <c r="O178" s="25"/>
      <c r="P178" s="25"/>
      <c r="Q178" s="131"/>
      <c r="R178" s="25"/>
      <c r="S178" s="25"/>
      <c r="T178" s="25"/>
      <c r="U178" s="25"/>
      <c r="V178" s="25"/>
      <c r="W178" s="121">
        <f t="shared" si="20"/>
        <v>24763.22</v>
      </c>
      <c r="X178" s="1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3">
        <f t="shared" si="22"/>
        <v>0</v>
      </c>
      <c r="AK178" s="107">
        <f t="shared" si="19"/>
        <v>24763.22</v>
      </c>
    </row>
    <row r="179" spans="1:37" x14ac:dyDescent="0.2">
      <c r="A179" s="95">
        <f t="shared" si="16"/>
        <v>177</v>
      </c>
      <c r="B179" s="21">
        <v>177</v>
      </c>
      <c r="C179" s="112" t="s">
        <v>225</v>
      </c>
      <c r="D179" s="109"/>
      <c r="E179" s="110"/>
      <c r="F179" s="28">
        <v>1</v>
      </c>
      <c r="G179" s="37">
        <v>12</v>
      </c>
      <c r="H179" s="37">
        <f>SUM(G179-F179)+1</f>
        <v>12</v>
      </c>
      <c r="I179" s="139">
        <f t="shared" si="17"/>
        <v>21482.760000000002</v>
      </c>
      <c r="J179" s="143">
        <f>'2013'!Q179</f>
        <v>0</v>
      </c>
      <c r="K179" s="75">
        <v>1490.23</v>
      </c>
      <c r="L179" s="75"/>
      <c r="M179" s="25"/>
      <c r="N179" s="25"/>
      <c r="O179" s="25"/>
      <c r="P179" s="25"/>
      <c r="Q179" s="131"/>
      <c r="R179" s="25"/>
      <c r="S179" s="75"/>
      <c r="T179" s="25"/>
      <c r="U179" s="25"/>
      <c r="V179" s="25"/>
      <c r="W179" s="121">
        <f t="shared" si="20"/>
        <v>19992.530000000002</v>
      </c>
      <c r="X179" s="1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3">
        <f t="shared" si="22"/>
        <v>0</v>
      </c>
      <c r="AK179" s="107">
        <f t="shared" si="19"/>
        <v>19992.530000000002</v>
      </c>
    </row>
    <row r="180" spans="1:37" hidden="1" x14ac:dyDescent="0.2">
      <c r="A180" s="95">
        <f t="shared" si="16"/>
        <v>178</v>
      </c>
      <c r="B180" s="21">
        <v>178</v>
      </c>
      <c r="C180" s="108"/>
      <c r="D180" s="109"/>
      <c r="E180" s="110"/>
      <c r="F180" s="18"/>
      <c r="G180" s="14"/>
      <c r="H180" s="2"/>
      <c r="I180" s="139">
        <f t="shared" si="17"/>
        <v>0</v>
      </c>
      <c r="J180" s="143">
        <f>'2013'!Q180</f>
        <v>0</v>
      </c>
      <c r="K180" s="7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121">
        <f t="shared" si="20"/>
        <v>0</v>
      </c>
      <c r="X180" s="1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3">
        <f t="shared" si="22"/>
        <v>0</v>
      </c>
      <c r="AK180" s="33">
        <f t="shared" si="19"/>
        <v>0</v>
      </c>
    </row>
    <row r="181" spans="1:37" x14ac:dyDescent="0.2">
      <c r="A181" s="95">
        <f t="shared" si="16"/>
        <v>179</v>
      </c>
      <c r="B181" s="21">
        <v>179</v>
      </c>
      <c r="C181" s="112" t="s">
        <v>226</v>
      </c>
      <c r="D181" s="109"/>
      <c r="E181" s="110"/>
      <c r="F181" s="28">
        <v>1</v>
      </c>
      <c r="G181" s="37">
        <v>12</v>
      </c>
      <c r="H181" s="37">
        <f t="shared" ref="H181:H188" si="23">SUM(G181-F181)+1</f>
        <v>12</v>
      </c>
      <c r="I181" s="139">
        <f t="shared" si="17"/>
        <v>21482.760000000002</v>
      </c>
      <c r="J181" s="143">
        <f>'2013'!Q181</f>
        <v>0</v>
      </c>
      <c r="K181" s="75"/>
      <c r="L181" s="25"/>
      <c r="M181" s="25"/>
      <c r="N181" s="25"/>
      <c r="O181" s="25"/>
      <c r="P181" s="25"/>
      <c r="Q181" s="131"/>
      <c r="R181" s="25"/>
      <c r="S181" s="25"/>
      <c r="T181" s="25"/>
      <c r="U181" s="25"/>
      <c r="V181" s="25"/>
      <c r="W181" s="121">
        <f t="shared" si="20"/>
        <v>21482.760000000002</v>
      </c>
      <c r="X181" s="1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3">
        <f t="shared" si="22"/>
        <v>0</v>
      </c>
      <c r="AK181" s="107">
        <f t="shared" si="19"/>
        <v>21482.760000000002</v>
      </c>
    </row>
    <row r="182" spans="1:37" x14ac:dyDescent="0.2">
      <c r="A182" s="95">
        <f t="shared" si="16"/>
        <v>180</v>
      </c>
      <c r="B182" s="21">
        <v>180</v>
      </c>
      <c r="C182" s="82" t="s">
        <v>39</v>
      </c>
      <c r="D182" s="8" t="s">
        <v>68</v>
      </c>
      <c r="E182" s="29">
        <v>41444</v>
      </c>
      <c r="F182" s="28">
        <v>1</v>
      </c>
      <c r="G182" s="37">
        <v>12</v>
      </c>
      <c r="H182" s="37">
        <f t="shared" si="23"/>
        <v>12</v>
      </c>
      <c r="I182" s="139">
        <f t="shared" si="17"/>
        <v>21482.760000000002</v>
      </c>
      <c r="J182" s="143">
        <f>'2013'!Q182</f>
        <v>10731.61</v>
      </c>
      <c r="K182" s="75"/>
      <c r="L182" s="25"/>
      <c r="M182" s="25"/>
      <c r="N182" s="25"/>
      <c r="O182" s="25"/>
      <c r="P182" s="25"/>
      <c r="Q182" s="131"/>
      <c r="R182" s="25"/>
      <c r="S182" s="25"/>
      <c r="T182" s="25"/>
      <c r="U182" s="25"/>
      <c r="V182" s="25"/>
      <c r="W182" s="121">
        <f t="shared" si="20"/>
        <v>32214.370000000003</v>
      </c>
      <c r="X182" s="1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3">
        <f t="shared" si="22"/>
        <v>0</v>
      </c>
      <c r="AK182" s="107">
        <f t="shared" si="19"/>
        <v>32214.370000000003</v>
      </c>
    </row>
    <row r="183" spans="1:37" x14ac:dyDescent="0.2">
      <c r="A183" s="94">
        <f t="shared" si="16"/>
        <v>181</v>
      </c>
      <c r="B183" s="21">
        <v>181</v>
      </c>
      <c r="C183" s="112" t="s">
        <v>227</v>
      </c>
      <c r="D183" s="109"/>
      <c r="E183" s="110"/>
      <c r="F183" s="28">
        <v>1</v>
      </c>
      <c r="G183" s="37">
        <v>12</v>
      </c>
      <c r="H183" s="37">
        <f t="shared" si="23"/>
        <v>12</v>
      </c>
      <c r="I183" s="139">
        <f t="shared" si="17"/>
        <v>21482.760000000002</v>
      </c>
      <c r="J183" s="143">
        <f>'2013'!Q183</f>
        <v>7751.15</v>
      </c>
      <c r="K183" s="75"/>
      <c r="L183" s="25"/>
      <c r="M183" s="25"/>
      <c r="N183" s="25"/>
      <c r="O183" s="25"/>
      <c r="P183" s="25"/>
      <c r="Q183" s="131"/>
      <c r="R183" s="25"/>
      <c r="S183" s="25"/>
      <c r="T183" s="25"/>
      <c r="U183" s="25"/>
      <c r="V183" s="25"/>
      <c r="W183" s="121">
        <f t="shared" si="20"/>
        <v>29233.910000000003</v>
      </c>
      <c r="X183" s="1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3">
        <f t="shared" si="22"/>
        <v>0</v>
      </c>
      <c r="AK183" s="107">
        <f t="shared" si="19"/>
        <v>29233.910000000003</v>
      </c>
    </row>
    <row r="184" spans="1:37" x14ac:dyDescent="0.2">
      <c r="A184" s="95">
        <f t="shared" si="16"/>
        <v>182</v>
      </c>
      <c r="B184" s="21" t="s">
        <v>10</v>
      </c>
      <c r="C184" s="81" t="s">
        <v>115</v>
      </c>
      <c r="D184" s="46" t="s">
        <v>197</v>
      </c>
      <c r="E184" s="29">
        <v>41548</v>
      </c>
      <c r="F184" s="28">
        <v>1</v>
      </c>
      <c r="G184" s="37">
        <v>12</v>
      </c>
      <c r="H184" s="37">
        <f t="shared" si="23"/>
        <v>12</v>
      </c>
      <c r="I184" s="139">
        <f t="shared" si="17"/>
        <v>21482.760000000002</v>
      </c>
      <c r="J184" s="143">
        <f>'2013'!Q184</f>
        <v>-2229.3099999999995</v>
      </c>
      <c r="K184" s="24"/>
      <c r="L184" s="25"/>
      <c r="M184" s="25"/>
      <c r="N184" s="25"/>
      <c r="O184" s="25"/>
      <c r="P184" s="25"/>
      <c r="Q184" s="131"/>
      <c r="R184" s="25"/>
      <c r="S184" s="25"/>
      <c r="T184" s="25"/>
      <c r="U184" s="25"/>
      <c r="V184" s="25"/>
      <c r="W184" s="121">
        <f t="shared" si="20"/>
        <v>19253.450000000004</v>
      </c>
      <c r="X184" s="1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3">
        <f t="shared" si="22"/>
        <v>0</v>
      </c>
      <c r="AK184" s="107">
        <f t="shared" si="19"/>
        <v>19253.450000000004</v>
      </c>
    </row>
    <row r="185" spans="1:37" x14ac:dyDescent="0.2">
      <c r="A185" s="95">
        <f t="shared" si="16"/>
        <v>183</v>
      </c>
      <c r="B185" s="21" t="s">
        <v>11</v>
      </c>
      <c r="C185" s="82" t="s">
        <v>19</v>
      </c>
      <c r="D185" s="46" t="s">
        <v>186</v>
      </c>
      <c r="E185" s="29">
        <v>41426</v>
      </c>
      <c r="F185" s="28">
        <v>1</v>
      </c>
      <c r="G185" s="37">
        <v>12</v>
      </c>
      <c r="H185" s="37">
        <f t="shared" si="23"/>
        <v>12</v>
      </c>
      <c r="I185" s="139">
        <f t="shared" si="17"/>
        <v>21482.760000000002</v>
      </c>
      <c r="J185" s="143">
        <f>'2013'!Q185</f>
        <v>-7151.1499999999978</v>
      </c>
      <c r="K185" s="24"/>
      <c r="L185" s="23"/>
      <c r="M185" s="23"/>
      <c r="N185" s="23"/>
      <c r="O185" s="25"/>
      <c r="P185" s="25"/>
      <c r="Q185" s="131"/>
      <c r="R185" s="25"/>
      <c r="S185" s="25"/>
      <c r="T185" s="25"/>
      <c r="U185" s="25"/>
      <c r="V185" s="25"/>
      <c r="W185" s="121">
        <f t="shared" si="20"/>
        <v>14331.610000000004</v>
      </c>
      <c r="X185" s="24"/>
      <c r="Y185" s="23"/>
      <c r="Z185" s="23"/>
      <c r="AA185" s="23"/>
      <c r="AB185" s="23"/>
      <c r="AC185" s="5"/>
      <c r="AD185" s="5"/>
      <c r="AE185" s="5"/>
      <c r="AF185" s="5"/>
      <c r="AG185" s="5"/>
      <c r="AH185" s="5"/>
      <c r="AI185" s="5"/>
      <c r="AJ185" s="53">
        <f t="shared" si="22"/>
        <v>0</v>
      </c>
      <c r="AK185" s="107">
        <f t="shared" si="19"/>
        <v>14331.610000000004</v>
      </c>
    </row>
    <row r="186" spans="1:37" x14ac:dyDescent="0.2">
      <c r="A186" s="95">
        <f t="shared" si="16"/>
        <v>184</v>
      </c>
      <c r="B186" s="93" t="s">
        <v>120</v>
      </c>
      <c r="C186" s="81" t="s">
        <v>121</v>
      </c>
      <c r="D186" s="46" t="s">
        <v>248</v>
      </c>
      <c r="E186" s="29">
        <v>41426</v>
      </c>
      <c r="F186" s="28">
        <v>1</v>
      </c>
      <c r="G186" s="27">
        <v>12</v>
      </c>
      <c r="H186" s="37">
        <f t="shared" si="23"/>
        <v>12</v>
      </c>
      <c r="I186" s="139">
        <f t="shared" si="17"/>
        <v>21482.760000000002</v>
      </c>
      <c r="J186" s="143">
        <f>'2013'!Q186</f>
        <v>0</v>
      </c>
      <c r="K186" s="75"/>
      <c r="L186" s="25"/>
      <c r="M186" s="25"/>
      <c r="N186" s="25"/>
      <c r="O186" s="25"/>
      <c r="P186" s="25"/>
      <c r="Q186" s="131"/>
      <c r="R186" s="25"/>
      <c r="S186" s="25"/>
      <c r="T186" s="25"/>
      <c r="U186" s="25"/>
      <c r="V186" s="25"/>
      <c r="W186" s="121">
        <f t="shared" si="20"/>
        <v>21482.760000000002</v>
      </c>
      <c r="X186" s="1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3">
        <f t="shared" si="22"/>
        <v>0</v>
      </c>
      <c r="AK186" s="107">
        <f t="shared" si="19"/>
        <v>21482.760000000002</v>
      </c>
    </row>
    <row r="187" spans="1:37" x14ac:dyDescent="0.2">
      <c r="A187" s="95">
        <f t="shared" si="16"/>
        <v>185</v>
      </c>
      <c r="B187" s="93" t="s">
        <v>123</v>
      </c>
      <c r="C187" s="111" t="s">
        <v>124</v>
      </c>
      <c r="D187" s="50"/>
      <c r="E187" s="51"/>
      <c r="F187" s="28">
        <v>1</v>
      </c>
      <c r="G187" s="37">
        <v>12</v>
      </c>
      <c r="H187" s="37">
        <f t="shared" si="23"/>
        <v>12</v>
      </c>
      <c r="I187" s="139">
        <f t="shared" si="17"/>
        <v>21482.760000000002</v>
      </c>
      <c r="J187" s="143">
        <f>'2013'!Q187</f>
        <v>-1490.2199999999993</v>
      </c>
      <c r="K187" s="24">
        <v>1490.23</v>
      </c>
      <c r="L187" s="75"/>
      <c r="M187" s="75"/>
      <c r="N187" s="25"/>
      <c r="O187" s="25"/>
      <c r="P187" s="25"/>
      <c r="Q187" s="131"/>
      <c r="R187" s="25"/>
      <c r="S187" s="75"/>
      <c r="T187" s="75"/>
      <c r="U187" s="25"/>
      <c r="V187" s="25"/>
      <c r="W187" s="121">
        <f t="shared" si="20"/>
        <v>18502.310000000001</v>
      </c>
      <c r="X187" s="1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3">
        <f t="shared" si="22"/>
        <v>0</v>
      </c>
      <c r="AK187" s="107">
        <f t="shared" si="19"/>
        <v>18502.310000000001</v>
      </c>
    </row>
    <row r="188" spans="1:37" x14ac:dyDescent="0.2">
      <c r="A188" s="95">
        <f t="shared" si="16"/>
        <v>186</v>
      </c>
      <c r="B188" s="93" t="s">
        <v>125</v>
      </c>
      <c r="C188" s="113" t="s">
        <v>126</v>
      </c>
      <c r="D188" s="50"/>
      <c r="E188" s="51"/>
      <c r="F188" s="28">
        <v>1</v>
      </c>
      <c r="G188" s="37">
        <v>12</v>
      </c>
      <c r="H188" s="37">
        <f t="shared" si="23"/>
        <v>12</v>
      </c>
      <c r="I188" s="139">
        <f t="shared" si="17"/>
        <v>21482.760000000002</v>
      </c>
      <c r="J188" s="143">
        <f>'2013'!Q188</f>
        <v>10731.61</v>
      </c>
      <c r="K188" s="75"/>
      <c r="L188" s="25"/>
      <c r="M188" s="25"/>
      <c r="N188" s="25"/>
      <c r="O188" s="25"/>
      <c r="P188" s="25"/>
      <c r="Q188" s="131"/>
      <c r="R188" s="25"/>
      <c r="S188" s="25"/>
      <c r="T188" s="25"/>
      <c r="U188" s="25"/>
      <c r="V188" s="25"/>
      <c r="W188" s="121">
        <f t="shared" si="20"/>
        <v>32214.370000000003</v>
      </c>
      <c r="X188" s="1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3">
        <f t="shared" si="22"/>
        <v>0</v>
      </c>
      <c r="AK188" s="107">
        <f t="shared" si="19"/>
        <v>32214.370000000003</v>
      </c>
    </row>
    <row r="189" spans="1:37" hidden="1" x14ac:dyDescent="0.2">
      <c r="A189" s="95">
        <f t="shared" si="16"/>
        <v>187</v>
      </c>
      <c r="B189" s="93" t="s">
        <v>4</v>
      </c>
      <c r="C189" s="108"/>
      <c r="D189" s="109"/>
      <c r="E189" s="110"/>
      <c r="F189" s="18"/>
      <c r="G189" s="14"/>
      <c r="H189" s="2"/>
      <c r="I189" s="139">
        <f t="shared" si="17"/>
        <v>0</v>
      </c>
      <c r="J189" s="143">
        <f>'2013'!Q189</f>
        <v>0</v>
      </c>
      <c r="K189" s="7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121">
        <f t="shared" si="20"/>
        <v>0</v>
      </c>
      <c r="X189" s="1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3">
        <f t="shared" si="22"/>
        <v>0</v>
      </c>
      <c r="AK189" s="33">
        <f t="shared" si="19"/>
        <v>0</v>
      </c>
    </row>
    <row r="190" spans="1:37" x14ac:dyDescent="0.2">
      <c r="A190" s="95">
        <f t="shared" si="16"/>
        <v>188</v>
      </c>
      <c r="B190" s="21" t="s">
        <v>14</v>
      </c>
      <c r="C190" s="84" t="s">
        <v>233</v>
      </c>
      <c r="D190" s="46" t="s">
        <v>234</v>
      </c>
      <c r="E190" s="29">
        <v>41583</v>
      </c>
      <c r="F190" s="28">
        <v>1</v>
      </c>
      <c r="G190" s="14">
        <v>12</v>
      </c>
      <c r="H190" s="37">
        <f>SUM(G190-F190)+1</f>
        <v>12</v>
      </c>
      <c r="I190" s="139">
        <f t="shared" si="17"/>
        <v>21482.760000000002</v>
      </c>
      <c r="J190" s="143">
        <f>'2013'!Q190</f>
        <v>3280.46</v>
      </c>
      <c r="K190" s="75"/>
      <c r="L190" s="25"/>
      <c r="M190" s="25"/>
      <c r="N190" s="25"/>
      <c r="O190" s="25"/>
      <c r="P190" s="25"/>
      <c r="Q190" s="131"/>
      <c r="R190" s="25"/>
      <c r="S190" s="25"/>
      <c r="T190" s="25"/>
      <c r="U190" s="25"/>
      <c r="V190" s="25"/>
      <c r="W190" s="121">
        <f t="shared" si="20"/>
        <v>24763.22</v>
      </c>
      <c r="X190" s="1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3">
        <f t="shared" si="22"/>
        <v>0</v>
      </c>
      <c r="AK190" s="33">
        <f t="shared" si="19"/>
        <v>24763.22</v>
      </c>
    </row>
    <row r="191" spans="1:37" hidden="1" x14ac:dyDescent="0.2">
      <c r="A191" s="95">
        <f t="shared" si="16"/>
        <v>189</v>
      </c>
      <c r="B191" s="21" t="s">
        <v>13</v>
      </c>
      <c r="C191" s="108"/>
      <c r="D191" s="109"/>
      <c r="E191" s="110"/>
      <c r="F191" s="18"/>
      <c r="G191" s="14"/>
      <c r="H191" s="2"/>
      <c r="I191" s="139">
        <f t="shared" si="17"/>
        <v>0</v>
      </c>
      <c r="J191" s="143">
        <f>'2013'!Q191</f>
        <v>0</v>
      </c>
      <c r="K191" s="7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121">
        <f t="shared" si="20"/>
        <v>0</v>
      </c>
      <c r="X191" s="1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3">
        <f t="shared" si="22"/>
        <v>0</v>
      </c>
      <c r="AK191" s="33">
        <f t="shared" si="19"/>
        <v>0</v>
      </c>
    </row>
    <row r="192" spans="1:37" x14ac:dyDescent="0.2">
      <c r="A192" s="95">
        <f t="shared" si="16"/>
        <v>190</v>
      </c>
      <c r="B192" s="21" t="s">
        <v>12</v>
      </c>
      <c r="C192" s="98" t="s">
        <v>272</v>
      </c>
      <c r="D192" s="137"/>
      <c r="E192" s="51"/>
      <c r="F192" s="28">
        <v>1</v>
      </c>
      <c r="G192" s="14">
        <v>12</v>
      </c>
      <c r="H192" s="37">
        <f t="shared" ref="H192:H203" si="24">SUM(G192-F192)+1</f>
        <v>12</v>
      </c>
      <c r="I192" s="139">
        <f t="shared" si="17"/>
        <v>21482.760000000002</v>
      </c>
      <c r="J192" s="143">
        <f>'2013'!Q192</f>
        <v>0</v>
      </c>
      <c r="K192" s="75"/>
      <c r="L192" s="25"/>
      <c r="M192" s="25"/>
      <c r="N192" s="25"/>
      <c r="O192" s="25"/>
      <c r="P192" s="25"/>
      <c r="Q192" s="131"/>
      <c r="R192" s="25"/>
      <c r="S192" s="25"/>
      <c r="T192" s="25"/>
      <c r="U192" s="25"/>
      <c r="V192" s="25"/>
      <c r="W192" s="121">
        <f t="shared" si="20"/>
        <v>21482.760000000002</v>
      </c>
      <c r="X192" s="1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3">
        <f t="shared" si="22"/>
        <v>0</v>
      </c>
      <c r="AK192" s="33">
        <f t="shared" si="19"/>
        <v>21482.760000000002</v>
      </c>
    </row>
    <row r="193" spans="1:37" x14ac:dyDescent="0.2">
      <c r="A193" s="95" t="e">
        <f>SUM(#REF!+1)</f>
        <v>#REF!</v>
      </c>
      <c r="B193" s="21" t="s">
        <v>5</v>
      </c>
      <c r="C193" s="82" t="s">
        <v>45</v>
      </c>
      <c r="D193" s="8" t="s">
        <v>46</v>
      </c>
      <c r="E193" s="29">
        <v>41442</v>
      </c>
      <c r="F193" s="28">
        <v>1</v>
      </c>
      <c r="G193" s="37">
        <v>12</v>
      </c>
      <c r="H193" s="37">
        <f t="shared" si="24"/>
        <v>12</v>
      </c>
      <c r="I193" s="139">
        <f t="shared" si="17"/>
        <v>21482.760000000002</v>
      </c>
      <c r="J193" s="143">
        <f>'2013'!Q193</f>
        <v>-9.7699999999986176</v>
      </c>
      <c r="K193" s="75"/>
      <c r="L193" s="25"/>
      <c r="M193" s="25"/>
      <c r="N193" s="25"/>
      <c r="O193" s="25"/>
      <c r="P193" s="25"/>
      <c r="Q193" s="131"/>
      <c r="R193" s="25"/>
      <c r="S193" s="25"/>
      <c r="T193" s="25"/>
      <c r="U193" s="25"/>
      <c r="V193" s="25"/>
      <c r="W193" s="121">
        <f t="shared" si="20"/>
        <v>21472.990000000005</v>
      </c>
      <c r="X193" s="1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3">
        <f t="shared" si="22"/>
        <v>0</v>
      </c>
      <c r="AK193" s="107">
        <f t="shared" si="19"/>
        <v>21472.990000000005</v>
      </c>
    </row>
    <row r="194" spans="1:37" x14ac:dyDescent="0.2">
      <c r="A194" s="95" t="e">
        <f t="shared" ref="A194:A207" si="25">SUM(A193+1)</f>
        <v>#REF!</v>
      </c>
      <c r="B194" s="93" t="s">
        <v>144</v>
      </c>
      <c r="C194" s="84" t="s">
        <v>228</v>
      </c>
      <c r="D194" s="46" t="s">
        <v>235</v>
      </c>
      <c r="E194" s="29">
        <v>41565</v>
      </c>
      <c r="F194" s="28">
        <v>1</v>
      </c>
      <c r="G194" s="37">
        <v>12</v>
      </c>
      <c r="H194" s="37">
        <f t="shared" si="24"/>
        <v>12</v>
      </c>
      <c r="I194" s="139">
        <f t="shared" si="17"/>
        <v>21482.760000000002</v>
      </c>
      <c r="J194" s="143">
        <f>'2013'!Q194</f>
        <v>3280.46</v>
      </c>
      <c r="K194" s="75"/>
      <c r="L194" s="25"/>
      <c r="M194" s="25"/>
      <c r="N194" s="25"/>
      <c r="O194" s="25"/>
      <c r="P194" s="25"/>
      <c r="Q194" s="131"/>
      <c r="R194" s="25"/>
      <c r="S194" s="25"/>
      <c r="T194" s="25"/>
      <c r="U194" s="25"/>
      <c r="V194" s="25"/>
      <c r="W194" s="121">
        <f t="shared" si="20"/>
        <v>24763.22</v>
      </c>
      <c r="X194" s="1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3">
        <f t="shared" si="22"/>
        <v>0</v>
      </c>
      <c r="AK194" s="107">
        <f t="shared" si="19"/>
        <v>24763.22</v>
      </c>
    </row>
    <row r="195" spans="1:37" x14ac:dyDescent="0.2">
      <c r="A195" s="95" t="e">
        <f t="shared" si="25"/>
        <v>#REF!</v>
      </c>
      <c r="B195" s="21" t="s">
        <v>71</v>
      </c>
      <c r="C195" s="82" t="s">
        <v>72</v>
      </c>
      <c r="D195" s="8" t="s">
        <v>73</v>
      </c>
      <c r="E195" s="29">
        <v>41446</v>
      </c>
      <c r="F195" s="28">
        <v>1</v>
      </c>
      <c r="G195" s="37">
        <v>12</v>
      </c>
      <c r="H195" s="37">
        <f t="shared" si="24"/>
        <v>12</v>
      </c>
      <c r="I195" s="139">
        <f t="shared" ref="I195:I207" si="26">SUM(H195*$I$1)</f>
        <v>21482.760000000002</v>
      </c>
      <c r="J195" s="143">
        <f>'2013'!Q195</f>
        <v>1.8189894035458565E-12</v>
      </c>
      <c r="K195" s="75"/>
      <c r="L195" s="25"/>
      <c r="M195" s="25"/>
      <c r="N195" s="25"/>
      <c r="O195" s="25"/>
      <c r="P195" s="25"/>
      <c r="Q195" s="131"/>
      <c r="R195" s="25"/>
      <c r="S195" s="25"/>
      <c r="T195" s="25"/>
      <c r="U195" s="25"/>
      <c r="V195" s="25"/>
      <c r="W195" s="121">
        <f t="shared" si="20"/>
        <v>21482.760000000002</v>
      </c>
      <c r="X195" s="1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3">
        <f t="shared" ref="AJ195:AJ201" si="27">SUM(X195:AI195)</f>
        <v>0</v>
      </c>
      <c r="AK195" s="107">
        <f t="shared" ref="AK195:AK207" si="28">AJ195+W195</f>
        <v>21482.760000000002</v>
      </c>
    </row>
    <row r="196" spans="1:37" x14ac:dyDescent="0.2">
      <c r="A196" s="95" t="e">
        <f t="shared" si="25"/>
        <v>#REF!</v>
      </c>
      <c r="B196" s="21" t="s">
        <v>6</v>
      </c>
      <c r="C196" s="83" t="s">
        <v>87</v>
      </c>
      <c r="D196" s="44" t="s">
        <v>168</v>
      </c>
      <c r="E196" s="29">
        <v>41470</v>
      </c>
      <c r="F196" s="28">
        <v>1</v>
      </c>
      <c r="G196" s="37">
        <v>12</v>
      </c>
      <c r="H196" s="37">
        <f t="shared" si="24"/>
        <v>12</v>
      </c>
      <c r="I196" s="139">
        <f t="shared" si="26"/>
        <v>21482.760000000002</v>
      </c>
      <c r="J196" s="143">
        <f>'2013'!Q196</f>
        <v>-1700</v>
      </c>
      <c r="K196" s="24">
        <v>2000</v>
      </c>
      <c r="L196" s="23"/>
      <c r="M196" s="25"/>
      <c r="N196" s="25"/>
      <c r="O196" s="25"/>
      <c r="P196" s="25"/>
      <c r="Q196" s="131"/>
      <c r="R196" s="25"/>
      <c r="S196" s="25"/>
      <c r="T196" s="25"/>
      <c r="U196" s="25"/>
      <c r="V196" s="25"/>
      <c r="W196" s="121">
        <f t="shared" ref="W196:W207" si="29">I196+J196-SUM(K196:V196)</f>
        <v>17782.760000000002</v>
      </c>
      <c r="X196" s="1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3">
        <f t="shared" si="27"/>
        <v>0</v>
      </c>
      <c r="AK196" s="107">
        <f t="shared" si="28"/>
        <v>17782.760000000002</v>
      </c>
    </row>
    <row r="197" spans="1:37" x14ac:dyDescent="0.2">
      <c r="A197" s="95" t="e">
        <f t="shared" si="25"/>
        <v>#REF!</v>
      </c>
      <c r="B197" s="21" t="s">
        <v>7</v>
      </c>
      <c r="C197" s="111" t="s">
        <v>152</v>
      </c>
      <c r="D197" s="50"/>
      <c r="E197" s="51"/>
      <c r="F197" s="28">
        <v>1</v>
      </c>
      <c r="G197" s="37">
        <v>12</v>
      </c>
      <c r="H197" s="37">
        <f t="shared" si="24"/>
        <v>12</v>
      </c>
      <c r="I197" s="139">
        <f t="shared" si="26"/>
        <v>21482.760000000002</v>
      </c>
      <c r="J197" s="143">
        <f>'2013'!Q197</f>
        <v>10731.61</v>
      </c>
      <c r="K197" s="75"/>
      <c r="L197" s="25"/>
      <c r="M197" s="25"/>
      <c r="N197" s="25"/>
      <c r="O197" s="25"/>
      <c r="P197" s="25"/>
      <c r="Q197" s="131"/>
      <c r="R197" s="25"/>
      <c r="S197" s="25"/>
      <c r="T197" s="25"/>
      <c r="U197" s="25"/>
      <c r="V197" s="25"/>
      <c r="W197" s="121">
        <f t="shared" si="29"/>
        <v>32214.370000000003</v>
      </c>
      <c r="X197" s="1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3">
        <f t="shared" si="27"/>
        <v>0</v>
      </c>
      <c r="AK197" s="107">
        <f t="shared" si="28"/>
        <v>32214.370000000003</v>
      </c>
    </row>
    <row r="198" spans="1:37" x14ac:dyDescent="0.2">
      <c r="A198" s="95" t="e">
        <f t="shared" si="25"/>
        <v>#REF!</v>
      </c>
      <c r="B198" s="21" t="s">
        <v>2</v>
      </c>
      <c r="C198" s="82" t="s">
        <v>36</v>
      </c>
      <c r="D198" s="8" t="s">
        <v>51</v>
      </c>
      <c r="E198" s="29">
        <v>41444</v>
      </c>
      <c r="F198" s="28">
        <v>1</v>
      </c>
      <c r="G198" s="37">
        <v>12</v>
      </c>
      <c r="H198" s="37">
        <f t="shared" si="24"/>
        <v>12</v>
      </c>
      <c r="I198" s="139">
        <f t="shared" si="26"/>
        <v>21482.760000000002</v>
      </c>
      <c r="J198" s="143">
        <f>'2013'!Q198</f>
        <v>1790.2300000000014</v>
      </c>
      <c r="K198" s="75">
        <v>1790.23</v>
      </c>
      <c r="L198" s="25"/>
      <c r="M198" s="25"/>
      <c r="N198" s="25"/>
      <c r="O198" s="25"/>
      <c r="P198" s="25"/>
      <c r="Q198" s="131"/>
      <c r="R198" s="25"/>
      <c r="S198" s="25"/>
      <c r="T198" s="25"/>
      <c r="U198" s="25"/>
      <c r="V198" s="25"/>
      <c r="W198" s="121">
        <f t="shared" si="29"/>
        <v>21482.760000000006</v>
      </c>
      <c r="X198" s="1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3">
        <f t="shared" si="27"/>
        <v>0</v>
      </c>
      <c r="AK198" s="107">
        <f t="shared" si="28"/>
        <v>21482.760000000006</v>
      </c>
    </row>
    <row r="199" spans="1:37" x14ac:dyDescent="0.2">
      <c r="A199" s="95" t="e">
        <f t="shared" si="25"/>
        <v>#REF!</v>
      </c>
      <c r="B199" s="21" t="s">
        <v>8</v>
      </c>
      <c r="C199" s="84" t="s">
        <v>215</v>
      </c>
      <c r="D199" s="46" t="s">
        <v>241</v>
      </c>
      <c r="E199" s="29">
        <v>41566</v>
      </c>
      <c r="F199" s="28">
        <v>1</v>
      </c>
      <c r="G199" s="37">
        <v>12</v>
      </c>
      <c r="H199" s="37">
        <f t="shared" si="24"/>
        <v>12</v>
      </c>
      <c r="I199" s="139">
        <f t="shared" si="26"/>
        <v>21482.760000000002</v>
      </c>
      <c r="J199" s="143">
        <f>'2013'!Q199</f>
        <v>3280.46</v>
      </c>
      <c r="K199" s="75"/>
      <c r="L199" s="25"/>
      <c r="M199" s="25"/>
      <c r="N199" s="25"/>
      <c r="O199" s="25"/>
      <c r="P199" s="25"/>
      <c r="Q199" s="131"/>
      <c r="R199" s="25"/>
      <c r="S199" s="25"/>
      <c r="T199" s="25"/>
      <c r="U199" s="25"/>
      <c r="V199" s="25"/>
      <c r="W199" s="121">
        <f t="shared" si="29"/>
        <v>24763.22</v>
      </c>
      <c r="X199" s="1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3">
        <f t="shared" si="27"/>
        <v>0</v>
      </c>
      <c r="AK199" s="107">
        <f t="shared" si="28"/>
        <v>24763.22</v>
      </c>
    </row>
    <row r="200" spans="1:37" x14ac:dyDescent="0.2">
      <c r="A200" s="95" t="e">
        <f t="shared" si="25"/>
        <v>#REF!</v>
      </c>
      <c r="B200" s="21" t="s">
        <v>9</v>
      </c>
      <c r="C200" s="84" t="s">
        <v>215</v>
      </c>
      <c r="D200" s="46" t="s">
        <v>243</v>
      </c>
      <c r="E200" s="29">
        <v>41566</v>
      </c>
      <c r="F200" s="28">
        <v>1</v>
      </c>
      <c r="G200" s="37">
        <v>12</v>
      </c>
      <c r="H200" s="37">
        <f t="shared" si="24"/>
        <v>12</v>
      </c>
      <c r="I200" s="139">
        <f t="shared" si="26"/>
        <v>21482.760000000002</v>
      </c>
      <c r="J200" s="143">
        <f>'2013'!Q200</f>
        <v>3280.46</v>
      </c>
      <c r="K200" s="75"/>
      <c r="L200" s="25"/>
      <c r="M200" s="25"/>
      <c r="N200" s="25"/>
      <c r="O200" s="25"/>
      <c r="P200" s="25"/>
      <c r="Q200" s="131"/>
      <c r="R200" s="25"/>
      <c r="S200" s="25"/>
      <c r="T200" s="25"/>
      <c r="U200" s="25"/>
      <c r="V200" s="25"/>
      <c r="W200" s="121">
        <f t="shared" si="29"/>
        <v>24763.22</v>
      </c>
      <c r="X200" s="1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3">
        <f t="shared" si="27"/>
        <v>0</v>
      </c>
      <c r="AK200" s="107">
        <f t="shared" si="28"/>
        <v>24763.22</v>
      </c>
    </row>
    <row r="201" spans="1:37" x14ac:dyDescent="0.2">
      <c r="A201" s="95" t="e">
        <f t="shared" si="25"/>
        <v>#REF!</v>
      </c>
      <c r="B201" s="21" t="s">
        <v>0</v>
      </c>
      <c r="C201" s="82" t="s">
        <v>1</v>
      </c>
      <c r="D201" s="8" t="s">
        <v>27</v>
      </c>
      <c r="E201" s="29">
        <v>41424</v>
      </c>
      <c r="F201" s="28">
        <v>1</v>
      </c>
      <c r="G201" s="37">
        <v>12</v>
      </c>
      <c r="H201" s="37">
        <f t="shared" si="24"/>
        <v>12</v>
      </c>
      <c r="I201" s="139">
        <f t="shared" si="26"/>
        <v>21482.760000000002</v>
      </c>
      <c r="J201" s="143">
        <f>'2013'!Q201</f>
        <v>1790.2299999999996</v>
      </c>
      <c r="K201" s="75"/>
      <c r="L201" s="25"/>
      <c r="M201" s="25"/>
      <c r="N201" s="25"/>
      <c r="O201" s="25"/>
      <c r="P201" s="25"/>
      <c r="Q201" s="131"/>
      <c r="R201" s="25"/>
      <c r="S201" s="25"/>
      <c r="T201" s="25"/>
      <c r="U201" s="25"/>
      <c r="V201" s="25"/>
      <c r="W201" s="121">
        <f t="shared" si="29"/>
        <v>23272.99</v>
      </c>
      <c r="X201" s="1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3">
        <f t="shared" si="27"/>
        <v>0</v>
      </c>
      <c r="AK201" s="107">
        <f t="shared" si="28"/>
        <v>23272.99</v>
      </c>
    </row>
    <row r="202" spans="1:37" x14ac:dyDescent="0.2">
      <c r="A202" s="94" t="e">
        <f t="shared" si="25"/>
        <v>#REF!</v>
      </c>
      <c r="B202" s="105" t="s">
        <v>230</v>
      </c>
      <c r="C202" s="84" t="s">
        <v>231</v>
      </c>
      <c r="D202" s="46" t="s">
        <v>242</v>
      </c>
      <c r="E202" s="29"/>
      <c r="F202" s="28">
        <v>1</v>
      </c>
      <c r="G202" s="37">
        <v>12</v>
      </c>
      <c r="H202" s="37">
        <f t="shared" si="24"/>
        <v>12</v>
      </c>
      <c r="I202" s="139">
        <f t="shared" si="26"/>
        <v>21482.760000000002</v>
      </c>
      <c r="J202" s="143">
        <f>'2013'!Q202</f>
        <v>-1789.7699999999986</v>
      </c>
      <c r="K202" s="24"/>
      <c r="L202" s="25"/>
      <c r="M202" s="25"/>
      <c r="N202" s="25"/>
      <c r="O202" s="25"/>
      <c r="P202" s="25"/>
      <c r="Q202" s="131"/>
      <c r="R202" s="25"/>
      <c r="S202" s="25"/>
      <c r="T202" s="25"/>
      <c r="U202" s="25"/>
      <c r="V202" s="25"/>
      <c r="W202" s="121">
        <f t="shared" si="29"/>
        <v>19692.990000000005</v>
      </c>
      <c r="X202" s="1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3"/>
      <c r="AK202" s="107">
        <f t="shared" si="28"/>
        <v>19692.990000000005</v>
      </c>
    </row>
    <row r="203" spans="1:37" x14ac:dyDescent="0.2">
      <c r="A203" s="95" t="e">
        <f t="shared" si="25"/>
        <v>#REF!</v>
      </c>
      <c r="B203" s="93" t="s">
        <v>105</v>
      </c>
      <c r="C203" s="112" t="s">
        <v>229</v>
      </c>
      <c r="D203" s="109"/>
      <c r="E203" s="110"/>
      <c r="F203" s="28">
        <v>1</v>
      </c>
      <c r="G203" s="37">
        <v>12</v>
      </c>
      <c r="H203" s="37">
        <f t="shared" si="24"/>
        <v>12</v>
      </c>
      <c r="I203" s="139">
        <f t="shared" si="26"/>
        <v>21482.760000000002</v>
      </c>
      <c r="J203" s="143">
        <f>'2013'!Q203</f>
        <v>-229.30999999999949</v>
      </c>
      <c r="K203" s="75"/>
      <c r="L203" s="25"/>
      <c r="M203" s="25"/>
      <c r="N203" s="25"/>
      <c r="O203" s="25"/>
      <c r="P203" s="25"/>
      <c r="Q203" s="131"/>
      <c r="R203" s="25"/>
      <c r="S203" s="25"/>
      <c r="T203" s="25"/>
      <c r="U203" s="25"/>
      <c r="V203" s="25"/>
      <c r="W203" s="121">
        <f t="shared" si="29"/>
        <v>21253.450000000004</v>
      </c>
      <c r="X203" s="1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3">
        <f>SUM(X203:AI203)</f>
        <v>0</v>
      </c>
      <c r="AK203" s="107">
        <f t="shared" si="28"/>
        <v>21253.450000000004</v>
      </c>
    </row>
    <row r="204" spans="1:37" hidden="1" x14ac:dyDescent="0.2">
      <c r="A204" s="95" t="e">
        <f t="shared" si="25"/>
        <v>#REF!</v>
      </c>
      <c r="B204" s="93" t="s">
        <v>109</v>
      </c>
      <c r="C204" s="108"/>
      <c r="D204" s="109"/>
      <c r="E204" s="110"/>
      <c r="F204" s="18"/>
      <c r="G204" s="14"/>
      <c r="H204" s="2"/>
      <c r="I204" s="139">
        <f t="shared" si="26"/>
        <v>0</v>
      </c>
      <c r="J204" s="143">
        <f>'2013'!Q204</f>
        <v>0</v>
      </c>
      <c r="K204" s="7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121">
        <f t="shared" si="29"/>
        <v>0</v>
      </c>
      <c r="X204" s="1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3">
        <f>SUM(X204:AI204)</f>
        <v>0</v>
      </c>
      <c r="AK204" s="33">
        <f t="shared" si="28"/>
        <v>0</v>
      </c>
    </row>
    <row r="205" spans="1:37" x14ac:dyDescent="0.2">
      <c r="A205" s="95" t="e">
        <f t="shared" si="25"/>
        <v>#REF!</v>
      </c>
      <c r="B205" s="93" t="s">
        <v>110</v>
      </c>
      <c r="C205" s="84" t="s">
        <v>193</v>
      </c>
      <c r="D205" s="46" t="s">
        <v>194</v>
      </c>
      <c r="E205" s="29">
        <v>41548</v>
      </c>
      <c r="F205" s="28">
        <v>1</v>
      </c>
      <c r="G205" s="37">
        <v>12</v>
      </c>
      <c r="H205" s="37">
        <f>SUM(G205-F205)+1</f>
        <v>12</v>
      </c>
      <c r="I205" s="139">
        <f t="shared" si="26"/>
        <v>21482.760000000002</v>
      </c>
      <c r="J205" s="143">
        <f>'2013'!Q205</f>
        <v>-1790.2299999999996</v>
      </c>
      <c r="K205" s="24"/>
      <c r="L205" s="25"/>
      <c r="M205" s="25"/>
      <c r="N205" s="25"/>
      <c r="O205" s="25"/>
      <c r="P205" s="25"/>
      <c r="Q205" s="131"/>
      <c r="R205" s="25"/>
      <c r="S205" s="25"/>
      <c r="T205" s="25"/>
      <c r="U205" s="25"/>
      <c r="V205" s="25"/>
      <c r="W205" s="121">
        <f t="shared" si="29"/>
        <v>19692.530000000002</v>
      </c>
      <c r="X205" s="1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3">
        <f>SUM(X205:AI205)</f>
        <v>0</v>
      </c>
      <c r="AK205" s="107">
        <f t="shared" si="28"/>
        <v>19692.530000000002</v>
      </c>
    </row>
    <row r="206" spans="1:37" x14ac:dyDescent="0.2">
      <c r="A206" s="95" t="e">
        <f t="shared" si="25"/>
        <v>#REF!</v>
      </c>
      <c r="B206" s="21" t="s">
        <v>15</v>
      </c>
      <c r="C206" s="112" t="s">
        <v>261</v>
      </c>
      <c r="D206" s="109"/>
      <c r="E206" s="110"/>
      <c r="F206" s="28">
        <v>1</v>
      </c>
      <c r="G206" s="37">
        <v>12</v>
      </c>
      <c r="H206" s="37">
        <f>SUM(G206-F206)+1</f>
        <v>12</v>
      </c>
      <c r="I206" s="139">
        <f t="shared" si="26"/>
        <v>21482.760000000002</v>
      </c>
      <c r="J206" s="143">
        <f>'2013'!Q206</f>
        <v>0</v>
      </c>
      <c r="K206" s="7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121">
        <f t="shared" si="29"/>
        <v>21482.760000000002</v>
      </c>
      <c r="X206" s="1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3">
        <f>SUM(X206:AI206)</f>
        <v>0</v>
      </c>
      <c r="AK206" s="33">
        <f t="shared" si="28"/>
        <v>21482.760000000002</v>
      </c>
    </row>
    <row r="207" spans="1:37" ht="13.5" thickBot="1" x14ac:dyDescent="0.25">
      <c r="A207" s="96" t="e">
        <f t="shared" si="25"/>
        <v>#REF!</v>
      </c>
      <c r="B207" s="145" t="s">
        <v>3</v>
      </c>
      <c r="C207" s="148" t="s">
        <v>147</v>
      </c>
      <c r="D207" s="151"/>
      <c r="E207" s="153"/>
      <c r="F207" s="28">
        <v>1</v>
      </c>
      <c r="G207" s="125">
        <v>12</v>
      </c>
      <c r="H207" s="37">
        <f>SUM(G207-F207)+1</f>
        <v>12</v>
      </c>
      <c r="I207" s="139">
        <f t="shared" si="26"/>
        <v>21482.760000000002</v>
      </c>
      <c r="J207" s="143">
        <f>'2013'!Q207</f>
        <v>6260.92</v>
      </c>
      <c r="K207" s="141">
        <v>6000</v>
      </c>
      <c r="L207" s="132"/>
      <c r="M207" s="132"/>
      <c r="N207" s="132"/>
      <c r="O207" s="132"/>
      <c r="P207" s="132"/>
      <c r="Q207" s="134"/>
      <c r="R207" s="132"/>
      <c r="S207" s="132"/>
      <c r="T207" s="132"/>
      <c r="U207" s="132"/>
      <c r="V207" s="132"/>
      <c r="W207" s="121">
        <f t="shared" si="29"/>
        <v>21743.68</v>
      </c>
      <c r="X207" s="17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54">
        <f>SUM(X207:AI207)</f>
        <v>0</v>
      </c>
      <c r="AK207" s="127">
        <f t="shared" si="28"/>
        <v>21743.68</v>
      </c>
    </row>
    <row r="208" spans="1:37" s="13" customFormat="1" ht="25.5" customHeight="1" thickBot="1" x14ac:dyDescent="0.3">
      <c r="A208" s="10"/>
      <c r="B208" s="100"/>
      <c r="C208" s="92" t="s">
        <v>84</v>
      </c>
      <c r="D208" s="11"/>
      <c r="E208" s="12"/>
      <c r="F208" s="12"/>
      <c r="G208" s="12"/>
      <c r="H208" s="12"/>
      <c r="I208" s="133">
        <f>SUM(I3:I207)</f>
        <v>3157965.7199999895</v>
      </c>
      <c r="J208" s="142">
        <f>SUM(J3:J207)</f>
        <v>329040.64000000019</v>
      </c>
      <c r="K208" s="140">
        <f>SUM(K3:K207)</f>
        <v>133734.26</v>
      </c>
      <c r="L208" s="30">
        <f>SUM(L3:L207)</f>
        <v>0</v>
      </c>
      <c r="M208" s="30">
        <f t="shared" ref="M208:Q208" si="30">SUM(M3:M207)</f>
        <v>0</v>
      </c>
      <c r="N208" s="30">
        <f t="shared" si="30"/>
        <v>0</v>
      </c>
      <c r="O208" s="30">
        <f t="shared" si="30"/>
        <v>0</v>
      </c>
      <c r="P208" s="30">
        <f t="shared" si="30"/>
        <v>0</v>
      </c>
      <c r="Q208" s="30">
        <f t="shared" si="30"/>
        <v>0</v>
      </c>
      <c r="R208" s="30">
        <f t="shared" ref="R208:V208" si="31">SUM(R3:R207)</f>
        <v>0</v>
      </c>
      <c r="S208" s="30">
        <f>SUM(S3:S207)</f>
        <v>0</v>
      </c>
      <c r="T208" s="30">
        <f t="shared" si="31"/>
        <v>0</v>
      </c>
      <c r="U208" s="30">
        <f t="shared" si="31"/>
        <v>0</v>
      </c>
      <c r="V208" s="135">
        <f t="shared" si="31"/>
        <v>0</v>
      </c>
      <c r="W208" s="34">
        <f>SUBTOTAL(9,W3:W207)</f>
        <v>3353272.1000000006</v>
      </c>
      <c r="AJ208" s="55">
        <f>SUM(AJ164:AJ207)</f>
        <v>0</v>
      </c>
      <c r="AK208" s="34">
        <f t="shared" ref="AK208" si="32">AJ208+W208</f>
        <v>3353272.1000000006</v>
      </c>
    </row>
    <row r="209" spans="3:22" ht="30.75" customHeight="1" thickBot="1" x14ac:dyDescent="0.25">
      <c r="C209" s="41"/>
      <c r="K209" s="168">
        <f>K208+1054</f>
        <v>134788.26</v>
      </c>
    </row>
    <row r="210" spans="3:22" ht="20.25" customHeight="1" thickBot="1" x14ac:dyDescent="0.25">
      <c r="C210" s="42" t="s">
        <v>205</v>
      </c>
      <c r="F210" s="104"/>
      <c r="G210" s="104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</row>
    <row r="211" spans="3:22" ht="18.75" customHeight="1" thickBot="1" x14ac:dyDescent="0.25">
      <c r="C211" s="73" t="s">
        <v>203</v>
      </c>
    </row>
    <row r="212" spans="3:22" ht="18.75" customHeight="1" thickBot="1" x14ac:dyDescent="0.25">
      <c r="C212" s="74" t="s">
        <v>204</v>
      </c>
    </row>
  </sheetData>
  <autoFilter ref="B2:AK207">
    <filterColumn colId="1">
      <customFilters>
        <customFilter operator="notEqual" val=" "/>
      </customFilters>
    </filterColumn>
    <sortState ref="B3:AK207">
      <sortCondition ref="B2:B207"/>
    </sortState>
  </autoFilter>
  <mergeCells count="1">
    <mergeCell ref="H210:V210"/>
  </mergeCells>
  <conditionalFormatting sqref="J3:J208">
    <cfRule type="cellIs" dxfId="0" priority="1" operator="greaterThan">
      <formula>0</formula>
    </cfRule>
  </conditionalFormatting>
  <pageMargins left="0.25" right="0.25" top="0.75" bottom="0.75" header="0.3" footer="0.3"/>
  <pageSetup paperSize="9" scale="72" fitToHeight="0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2013</vt:lpstr>
      <vt:lpstr>2014</vt:lpstr>
      <vt:lpstr>Лист1</vt:lpstr>
      <vt:lpstr>'2013'!Область_печати</vt:lpstr>
      <vt:lpstr>'2014'!Область_печати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2014-01-28T05:00:50Z</dcterms:modified>
</cp:coreProperties>
</file>